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workbookProtection lockStructure="1"/>
  <bookViews>
    <workbookView xWindow="0" yWindow="15" windowWidth="12120" windowHeight="8445"/>
  </bookViews>
  <sheets>
    <sheet name="GA55A" sheetId="2" r:id="rId1"/>
    <sheet name="Other Deduction" sheetId="1" r:id="rId2"/>
    <sheet name="Computation" sheetId="3" r:id="rId3"/>
  </sheets>
  <definedNames>
    <definedName name="_tds1">#REF!</definedName>
    <definedName name="_tds2">#REF!</definedName>
    <definedName name="AIR.Code001">#REF!</definedName>
    <definedName name="AIR.Code002">#REF!</definedName>
    <definedName name="AIR.Code003">#REF!</definedName>
    <definedName name="AIR.Code004">#REF!</definedName>
    <definedName name="AIR.Code005">#REF!</definedName>
    <definedName name="AIR.Code006">#REF!</definedName>
    <definedName name="AIR.Code007">#REF!</definedName>
    <definedName name="AIR.Code008">#REF!</definedName>
    <definedName name="AIR.TaxExmpIntInc">#REF!</definedName>
    <definedName name="Bank1">#REF!</definedName>
    <definedName name="Bank10">#REF!</definedName>
    <definedName name="Bank11">#REF!</definedName>
    <definedName name="Bank12">#REF!</definedName>
    <definedName name="Bank2">#REF!</definedName>
    <definedName name="Bank3">#REF!</definedName>
    <definedName name="Bank4">#REF!</definedName>
    <definedName name="Bank5">#REF!</definedName>
    <definedName name="Bank6">#REF!</definedName>
    <definedName name="Bank6PCAR">#REF!</definedName>
    <definedName name="Bank7">#REF!</definedName>
    <definedName name="Bank8">#REF!</definedName>
    <definedName name="Bank9">#REF!</definedName>
    <definedName name="BankAccNo">#REF!</definedName>
    <definedName name="BankArrear">#REF!</definedName>
    <definedName name="BankArrear0">#REF!</definedName>
    <definedName name="BankArrear1">#REF!</definedName>
    <definedName name="BankArrear2">#REF!</definedName>
    <definedName name="BankArrear3">#REF!</definedName>
    <definedName name="BankBonus">#REF!</definedName>
    <definedName name="BankDA10">#REF!</definedName>
    <definedName name="BankDA5">#REF!</definedName>
    <definedName name="BankDA6">#REF!</definedName>
    <definedName name="BankDA8">#REF!</definedName>
    <definedName name="BankPL">#REF!</definedName>
    <definedName name="cmb_IncD.BankAccountType">#REF!</definedName>
    <definedName name="cmb_IncD.EcsRequired">#REF!</definedName>
    <definedName name="cmb_TDSal.StateCode">#REF!</definedName>
    <definedName name="cmb_TDSoth.StateCode">#REF!</definedName>
    <definedName name="i_general">#REF!</definedName>
    <definedName name="i_general2">#REF!</definedName>
    <definedName name="i_tds">#REF!</definedName>
    <definedName name="IncD.AdvanceTax">#REF!</definedName>
    <definedName name="IncD.AggregateIncome">#REF!</definedName>
    <definedName name="IncD.BalTaxPayable">#REF!</definedName>
    <definedName name="IncD.BankAccountNumber">#REF!</definedName>
    <definedName name="IncD.BankAccountType">#REF!</definedName>
    <definedName name="IncD.EcsRequired">#REF!</definedName>
    <definedName name="IncD.EducationCess">#REF!</definedName>
    <definedName name="IncD.FamPension">#REF!</definedName>
    <definedName name="IncD.GrossTaxLiability">#REF!</definedName>
    <definedName name="IncD.GrossTotIncome">#REF!</definedName>
    <definedName name="IncD.IncomeFromOS">#REF!</definedName>
    <definedName name="IncD.IncomeFromSal">#REF!</definedName>
    <definedName name="IncD.IndInterest">#REF!</definedName>
    <definedName name="IncD.IntrstPayUs234A">#REF!</definedName>
    <definedName name="IncD.IntrstPayUs234B">#REF!</definedName>
    <definedName name="IncD.IntrstPayUs234C">#REF!</definedName>
    <definedName name="IncD.MICRCode">#REF!</definedName>
    <definedName name="IncD.NetAgriculturalIncome">#REF!</definedName>
    <definedName name="IncD.NetTaxLiability">#REF!</definedName>
    <definedName name="IncD.RebateOnAgriInc">#REF!</definedName>
    <definedName name="IncD.RefundDue">#REF!</definedName>
    <definedName name="IncD.Section80C">#REF!</definedName>
    <definedName name="IncD.Section80CCC">#REF!</definedName>
    <definedName name="IncD.Section80CCD">#REF!</definedName>
    <definedName name="IncD.Section80D">#REF!</definedName>
    <definedName name="IncD.Section80DD">#REF!</definedName>
    <definedName name="IncD.Section80DDB">#REF!</definedName>
    <definedName name="IncD.Section80E">#REF!</definedName>
    <definedName name="IncD.Section80G">#REF!</definedName>
    <definedName name="IncD.Section80GG">#REF!</definedName>
    <definedName name="IncD.Section80GGA">#REF!</definedName>
    <definedName name="IncD.Section80GGC">#REF!</definedName>
    <definedName name="IncD.Section80U">#REF!</definedName>
    <definedName name="IncD.Section89">#REF!</definedName>
    <definedName name="IncD.Section90and91">#REF!</definedName>
    <definedName name="IncD.SelfAssessmentTax">#REF!</definedName>
    <definedName name="IncD.SurchargeOnTaxPayable">#REF!</definedName>
    <definedName name="IncD.TaxOnAggregateInc">#REF!</definedName>
    <definedName name="IncD.TDS">#REF!</definedName>
    <definedName name="IncD.TotalChapVIADeductions">#REF!</definedName>
    <definedName name="IncD.TotalIncome">#REF!</definedName>
    <definedName name="IncD.TotalIntrstPay">#REF!</definedName>
    <definedName name="IncD.TotalTaxesPaid">#REF!</definedName>
    <definedName name="IncD.TotalTaxPayable">#REF!</definedName>
    <definedName name="IncD.TotTaxPlusIntrstPay">#REF!</definedName>
    <definedName name="IT.Amt">#REF!</definedName>
    <definedName name="IT.FormulaOFS">#REF!</definedName>
    <definedName name="_xlnm.Print_Area" localSheetId="2">Computation!$B$1:$Q$62</definedName>
    <definedName name="_xlnm.Print_Area" localSheetId="0">GA55A!$C$5:$AD$34</definedName>
    <definedName name="Sex">'Other Deduction'!#REF!</definedName>
    <definedName name="sheet1.CityOrTownOrDistrict">#REF!</definedName>
    <definedName name="sheet1.DOB">#REF!</definedName>
    <definedName name="sheet1.EmployerCategory1">#REF!</definedName>
    <definedName name="sheet1.FirstName">#REF!</definedName>
    <definedName name="sheet1.Gender1">#REF!</definedName>
    <definedName name="sheet1.LocalityOrArea">#REF!</definedName>
    <definedName name="sheet1.MiddleName">#REF!</definedName>
    <definedName name="sheet1.newstcode">#REF!</definedName>
    <definedName name="sheet1.OrigRetFiledDate">#REF!</definedName>
    <definedName name="sheet1.PAN">#REF!</definedName>
    <definedName name="sheet1.PhoneNo">#REF!</definedName>
    <definedName name="sheet1.PinCode">#REF!</definedName>
    <definedName name="sheet1.ReceiptNo">#REF!</definedName>
    <definedName name="sheet1.ResidenceName">#REF!</definedName>
    <definedName name="sheet1.ResidenceNo">#REF!</definedName>
    <definedName name="sheet1.ResidentialStatus">#REF!</definedName>
    <definedName name="sheet1.ResidentialStatus1">#REF!</definedName>
    <definedName name="sheet1.ReturnFileSec">#REF!</definedName>
    <definedName name="sheet1.ReturnFileSec1">#REF!</definedName>
    <definedName name="sheet1.ReturnType">#REF!</definedName>
    <definedName name="sheet1.ReturnType1">#REF!</definedName>
    <definedName name="sheet1.RoadOrStreet">#REF!</definedName>
    <definedName name="sheet1.StateCode">#REF!</definedName>
    <definedName name="sheet1.StateCode1">#REF!</definedName>
    <definedName name="sheet1.Status">#REF!</definedName>
    <definedName name="sheet1.Status1">#REF!</definedName>
    <definedName name="sheet1.STDcode">#REF!</definedName>
    <definedName name="sheet1.SurNameOrOrgName">#REF!</definedName>
    <definedName name="sheet1.SwVersionNo">#REF!</definedName>
    <definedName name="TaxP.Amt">#REF!</definedName>
    <definedName name="TaxP.BSRCode">#REF!</definedName>
    <definedName name="TaxP.DateDep">#REF!</definedName>
    <definedName name="TaxP.NameOfBank">#REF!</definedName>
    <definedName name="TaxP.NameOfBranch">#REF!</definedName>
    <definedName name="TaxP.SrlNoOfChaln">#REF!</definedName>
    <definedName name="TDS_Sum">#REF!</definedName>
    <definedName name="TDS1.TotalTDSSal">#REF!</definedName>
    <definedName name="TDS2_sum">#REF!</definedName>
    <definedName name="TDSal.AddrDetail">#REF!</definedName>
    <definedName name="TDSal.CityOrTownOrDistrict">#REF!</definedName>
    <definedName name="TDSal.DeductUnderChapVIA">#REF!</definedName>
    <definedName name="TDSal.EmployerOrDeductorOrCollecterName">#REF!</definedName>
    <definedName name="TDSal.IncChrgSal">#REF!</definedName>
    <definedName name="TDSal.PinCode">#REF!</definedName>
    <definedName name="TDSal.StateCode">#REF!</definedName>
    <definedName name="TDSal.TAN">#REF!</definedName>
    <definedName name="TDSal.TaxPayIncluSurchEdnCes">#REF!</definedName>
    <definedName name="TDSal.TaxPayRefund">#REF!</definedName>
    <definedName name="TDSal.TotalTDSSal">#REF!</definedName>
    <definedName name="TDSoth.AddrDetail">#REF!</definedName>
    <definedName name="TDSoth.AmtPaid">#REF!</definedName>
    <definedName name="TDSoth.CityOrTownOrDistrict">#REF!</definedName>
    <definedName name="TDSoth.ClaimOutOfTotTDSOnAmtPaid">#REF!</definedName>
    <definedName name="TDSoth.DatePayCred">#REF!</definedName>
    <definedName name="TDSoth.EmployerOrDeductorOrCollecterName">#REF!</definedName>
    <definedName name="TDSoth.PinCode">#REF!</definedName>
    <definedName name="TDSoth.StateCode">#REF!</definedName>
    <definedName name="TDSoth.TAN">#REF!</definedName>
    <definedName name="TDSoth.TotTDSOnAmtPaid">#REF!</definedName>
    <definedName name="tp">#REF!</definedName>
    <definedName name="Ver.AssesseeVerName">#REF!</definedName>
    <definedName name="Ver.Date">#REF!</definedName>
    <definedName name="Ver.FatherName">#REF!</definedName>
    <definedName name="Ver.IdentificationNoOfTRP">#REF!</definedName>
    <definedName name="Ver.NameOfTRP">#REF!</definedName>
    <definedName name="Ver.Place">#REF!</definedName>
    <definedName name="Ver.ReImbFrmGov">#REF!</definedName>
    <definedName name="Z_01E6FF9C_BB30_4C32_9D09_6DB93F11503E_.wvu.Cols" localSheetId="2" hidden="1">Computation!$S:$XFD</definedName>
    <definedName name="Z_01E6FF9C_BB30_4C32_9D09_6DB93F11503E_.wvu.Cols" localSheetId="0" hidden="1">GA55A!$AF:$XFD</definedName>
    <definedName name="Z_01E6FF9C_BB30_4C32_9D09_6DB93F11503E_.wvu.Cols" localSheetId="1" hidden="1">'Other Deduction'!$G:$XFD</definedName>
    <definedName name="Z_01E6FF9C_BB30_4C32_9D09_6DB93F11503E_.wvu.PrintArea" localSheetId="2" hidden="1">Computation!$B$1:$Q$66</definedName>
    <definedName name="Z_01E6FF9C_BB30_4C32_9D09_6DB93F11503E_.wvu.PrintArea" localSheetId="0" hidden="1">GA55A!$C$5:$AD$34</definedName>
    <definedName name="Z_01E6FF9C_BB30_4C32_9D09_6DB93F11503E_.wvu.Rows" localSheetId="2" hidden="1">Computation!$72:$1048576,Computation!$68:$71</definedName>
    <definedName name="Z_01E6FF9C_BB30_4C32_9D09_6DB93F11503E_.wvu.Rows" localSheetId="0" hidden="1">GA55A!$947:$1048576,GA55A!$35:$946</definedName>
    <definedName name="Z_01E6FF9C_BB30_4C32_9D09_6DB93F11503E_.wvu.Rows" localSheetId="1" hidden="1">'Other Deduction'!$559:$1048576,'Other Deduction'!$21:$558</definedName>
    <definedName name="Z_483AFC7C_A53B_4837_A853_31CBC6C9ED1B_.wvu.Cols" localSheetId="2" hidden="1">Computation!$S:$XFD</definedName>
    <definedName name="Z_483AFC7C_A53B_4837_A853_31CBC6C9ED1B_.wvu.Cols" localSheetId="0" hidden="1">GA55A!$AF:$XFD</definedName>
    <definedName name="Z_483AFC7C_A53B_4837_A853_31CBC6C9ED1B_.wvu.Cols" localSheetId="1" hidden="1">'Other Deduction'!$G:$XFD</definedName>
    <definedName name="Z_483AFC7C_A53B_4837_A853_31CBC6C9ED1B_.wvu.PrintArea" localSheetId="2" hidden="1">Computation!$B$1:$Q$66</definedName>
    <definedName name="Z_483AFC7C_A53B_4837_A853_31CBC6C9ED1B_.wvu.PrintArea" localSheetId="0" hidden="1">GA55A!$C$5:$AD$34</definedName>
    <definedName name="Z_483AFC7C_A53B_4837_A853_31CBC6C9ED1B_.wvu.Rows" localSheetId="2" hidden="1">Computation!$72:$1048576,Computation!$68:$71</definedName>
    <definedName name="Z_483AFC7C_A53B_4837_A853_31CBC6C9ED1B_.wvu.Rows" localSheetId="0" hidden="1">GA55A!$947:$1048576,GA55A!$35:$946</definedName>
    <definedName name="Z_483AFC7C_A53B_4837_A853_31CBC6C9ED1B_.wvu.Rows" localSheetId="1" hidden="1">'Other Deduction'!$559:$1048576,'Other Deduction'!$21:$558</definedName>
  </definedNames>
  <calcPr calcId="125725"/>
  <customWorkbookViews>
    <customWorkbookView name="Kalu Ram Kumawat - Personal View" guid="{01E6FF9C-BB30-4C32-9D09-6DB93F11503E}" mergeInterval="0" personalView="1" maximized="1" xWindow="1" yWindow="1" windowWidth="1024" windowHeight="547" activeSheetId="1"/>
    <customWorkbookView name="x - Personal View" guid="{483AFC7C-A53B-4837-A853-31CBC6C9ED1B}" mergeInterval="0" personalView="1" maximized="1" xWindow="1" yWindow="1" windowWidth="800" windowHeight="382" activeSheetId="1"/>
  </customWorkbookViews>
</workbook>
</file>

<file path=xl/calcChain.xml><?xml version="1.0" encoding="utf-8"?>
<calcChain xmlns="http://schemas.openxmlformats.org/spreadsheetml/2006/main">
  <c r="I25" i="3"/>
  <c r="U10" i="2"/>
  <c r="O10"/>
  <c r="Q30" i="3"/>
  <c r="Q56"/>
  <c r="Q40"/>
  <c r="Q39"/>
  <c r="Q38"/>
  <c r="Q37"/>
  <c r="Q36"/>
  <c r="Q35"/>
  <c r="Q34"/>
  <c r="Q33"/>
  <c r="O26"/>
  <c r="O24"/>
  <c r="O23"/>
  <c r="O20"/>
  <c r="I23"/>
  <c r="Q15"/>
  <c r="Z11" i="2"/>
  <c r="Y11"/>
  <c r="V11"/>
  <c r="V12" s="1"/>
  <c r="V13" s="1"/>
  <c r="V14" s="1"/>
  <c r="V15" s="1"/>
  <c r="V16" s="1"/>
  <c r="V17" s="1"/>
  <c r="V18" s="1"/>
  <c r="V19" s="1"/>
  <c r="V20" s="1"/>
  <c r="V21" s="1"/>
  <c r="Q24" l="1"/>
  <c r="R24"/>
  <c r="Q25"/>
  <c r="R25"/>
  <c r="H22"/>
  <c r="S10" l="1"/>
  <c r="S11" l="1"/>
  <c r="S12" s="1"/>
  <c r="S13" s="1"/>
  <c r="H10"/>
  <c r="O22"/>
  <c r="X29"/>
  <c r="V29"/>
  <c r="K28"/>
  <c r="K27"/>
  <c r="Q27" s="1"/>
  <c r="K26"/>
  <c r="K22"/>
  <c r="R22" s="1"/>
  <c r="N25"/>
  <c r="K10"/>
  <c r="Z12"/>
  <c r="Y12"/>
  <c r="W11"/>
  <c r="W12" s="1"/>
  <c r="W13" s="1"/>
  <c r="W14" s="1"/>
  <c r="W15" s="1"/>
  <c r="W16" s="1"/>
  <c r="W17" s="1"/>
  <c r="W18" s="1"/>
  <c r="W19" s="1"/>
  <c r="W20" s="1"/>
  <c r="W21" s="1"/>
  <c r="T11"/>
  <c r="T12" s="1"/>
  <c r="P11"/>
  <c r="P12" s="1"/>
  <c r="P13" s="1"/>
  <c r="P14" s="1"/>
  <c r="P3" i="3"/>
  <c r="A2" i="1"/>
  <c r="M8" i="3"/>
  <c r="M7"/>
  <c r="O25"/>
  <c r="O22"/>
  <c r="O21"/>
  <c r="I26"/>
  <c r="I22"/>
  <c r="I21"/>
  <c r="K12"/>
  <c r="M10"/>
  <c r="E12" s="1"/>
  <c r="Q5"/>
  <c r="A1" i="1"/>
  <c r="L3" i="3"/>
  <c r="E3"/>
  <c r="B1"/>
  <c r="J13" i="2"/>
  <c r="J14" s="1"/>
  <c r="J15" s="1"/>
  <c r="J16" s="1"/>
  <c r="J17" s="1"/>
  <c r="J18" s="1"/>
  <c r="J19" s="1"/>
  <c r="J20" s="1"/>
  <c r="J21" s="1"/>
  <c r="J11"/>
  <c r="M11"/>
  <c r="L11"/>
  <c r="L12" s="1"/>
  <c r="L13" s="1"/>
  <c r="L14" s="1"/>
  <c r="L15" s="1"/>
  <c r="L16" s="1"/>
  <c r="L17" s="1"/>
  <c r="L18" s="1"/>
  <c r="L19" s="1"/>
  <c r="L20" s="1"/>
  <c r="L21" s="1"/>
  <c r="G11"/>
  <c r="G12" s="1"/>
  <c r="G13" s="1"/>
  <c r="G14" s="1"/>
  <c r="G15" s="1"/>
  <c r="G16" s="1"/>
  <c r="G17" s="1"/>
  <c r="G18" s="1"/>
  <c r="G19" s="1"/>
  <c r="G20" s="1"/>
  <c r="G21" s="1"/>
  <c r="F11"/>
  <c r="F12" s="1"/>
  <c r="F13" s="1"/>
  <c r="F14" s="1"/>
  <c r="F15" s="1"/>
  <c r="F16" s="1"/>
  <c r="F17" s="1"/>
  <c r="F18" s="1"/>
  <c r="F19" s="1"/>
  <c r="F20" s="1"/>
  <c r="F21" s="1"/>
  <c r="E11"/>
  <c r="D11"/>
  <c r="U11" s="1"/>
  <c r="I10"/>
  <c r="I28" s="1"/>
  <c r="E12"/>
  <c r="E13"/>
  <c r="E14"/>
  <c r="E15"/>
  <c r="E16"/>
  <c r="E17"/>
  <c r="E18"/>
  <c r="E19"/>
  <c r="E20"/>
  <c r="E21"/>
  <c r="D12" l="1"/>
  <c r="O11"/>
  <c r="S14"/>
  <c r="S15" s="1"/>
  <c r="S16" s="1"/>
  <c r="S17" s="1"/>
  <c r="S18" s="1"/>
  <c r="S19" s="1"/>
  <c r="S20" s="1"/>
  <c r="S21" s="1"/>
  <c r="Q41" i="3"/>
  <c r="J29" i="2"/>
  <c r="H11"/>
  <c r="K11" s="1"/>
  <c r="Q11" s="1"/>
  <c r="F29"/>
  <c r="E29"/>
  <c r="G29"/>
  <c r="L29"/>
  <c r="W29"/>
  <c r="N28"/>
  <c r="AA28" s="1"/>
  <c r="I27"/>
  <c r="N27" s="1"/>
  <c r="AA27" s="1"/>
  <c r="I26"/>
  <c r="N26" s="1"/>
  <c r="R26"/>
  <c r="R28"/>
  <c r="Q26"/>
  <c r="Q28"/>
  <c r="R27"/>
  <c r="Q22"/>
  <c r="N22"/>
  <c r="AB25"/>
  <c r="AC25" s="1"/>
  <c r="Q8" i="3"/>
  <c r="Z13" i="2"/>
  <c r="Z14" s="1"/>
  <c r="Z15" s="1"/>
  <c r="Z16" s="1"/>
  <c r="Z17" s="1"/>
  <c r="Z18" s="1"/>
  <c r="Z19" s="1"/>
  <c r="Z20" s="1"/>
  <c r="Z21" s="1"/>
  <c r="Y13"/>
  <c r="Y14" s="1"/>
  <c r="Y15" s="1"/>
  <c r="Y16" s="1"/>
  <c r="Y17" s="1"/>
  <c r="Y18" s="1"/>
  <c r="Y19" s="1"/>
  <c r="Y20" s="1"/>
  <c r="Y21" s="1"/>
  <c r="T13"/>
  <c r="T14" s="1"/>
  <c r="T15" s="1"/>
  <c r="T16" s="1"/>
  <c r="T17" s="1"/>
  <c r="T18" s="1"/>
  <c r="T19" s="1"/>
  <c r="T20" s="1"/>
  <c r="T21" s="1"/>
  <c r="P15"/>
  <c r="P16" s="1"/>
  <c r="P17" s="1"/>
  <c r="P18" s="1"/>
  <c r="P19" s="1"/>
  <c r="P20" s="1"/>
  <c r="P21" s="1"/>
  <c r="N10"/>
  <c r="AA11" s="1"/>
  <c r="Q10"/>
  <c r="R10"/>
  <c r="I11"/>
  <c r="M12"/>
  <c r="M13" s="1"/>
  <c r="M14" s="1"/>
  <c r="M15" s="1"/>
  <c r="M16" s="1"/>
  <c r="M17" s="1"/>
  <c r="M18" s="1"/>
  <c r="M19" s="1"/>
  <c r="M20" s="1"/>
  <c r="M21" s="1"/>
  <c r="AA12" l="1"/>
  <c r="AA13" s="1"/>
  <c r="AA14" s="1"/>
  <c r="AA15" s="1"/>
  <c r="AA16" s="1"/>
  <c r="AA17" s="1"/>
  <c r="F59" i="3"/>
  <c r="D13" i="2"/>
  <c r="O13" s="1"/>
  <c r="O12"/>
  <c r="S29"/>
  <c r="H12"/>
  <c r="U12"/>
  <c r="P29"/>
  <c r="Y29"/>
  <c r="M29"/>
  <c r="Z29"/>
  <c r="T29"/>
  <c r="AB27"/>
  <c r="AC27" s="1"/>
  <c r="O59" i="3"/>
  <c r="AB26" i="2"/>
  <c r="AC26" s="1"/>
  <c r="AB28"/>
  <c r="AC28" s="1"/>
  <c r="AB22"/>
  <c r="I12"/>
  <c r="N11"/>
  <c r="I27" i="3"/>
  <c r="I20"/>
  <c r="R11" i="2"/>
  <c r="K12"/>
  <c r="R12" s="1"/>
  <c r="H12" i="3"/>
  <c r="AA18" i="2" l="1"/>
  <c r="U13"/>
  <c r="H13"/>
  <c r="AC22"/>
  <c r="N12"/>
  <c r="Q12"/>
  <c r="K13"/>
  <c r="D14"/>
  <c r="O14" s="1"/>
  <c r="I13"/>
  <c r="M12" i="3"/>
  <c r="Q13" s="1"/>
  <c r="AA19" i="2" l="1"/>
  <c r="H14"/>
  <c r="K14" s="1"/>
  <c r="U14"/>
  <c r="Q13"/>
  <c r="R13"/>
  <c r="AB12"/>
  <c r="AC12" s="1"/>
  <c r="I14"/>
  <c r="D15"/>
  <c r="O15" s="1"/>
  <c r="N13"/>
  <c r="AA20" l="1"/>
  <c r="J59" i="3"/>
  <c r="D16" i="2"/>
  <c r="O16" s="1"/>
  <c r="U15"/>
  <c r="H15"/>
  <c r="AB13"/>
  <c r="AC13" s="1"/>
  <c r="Q14"/>
  <c r="R14"/>
  <c r="H16"/>
  <c r="N14"/>
  <c r="K15"/>
  <c r="I15"/>
  <c r="AA21" l="1"/>
  <c r="M59" i="3" s="1"/>
  <c r="L59"/>
  <c r="AA29" i="2"/>
  <c r="F8" i="1" s="1"/>
  <c r="D24" i="2"/>
  <c r="H23" s="1"/>
  <c r="O23" s="1"/>
  <c r="K23"/>
  <c r="U16"/>
  <c r="AB14"/>
  <c r="D17"/>
  <c r="U17" s="1"/>
  <c r="R15"/>
  <c r="Q15"/>
  <c r="K16"/>
  <c r="I16"/>
  <c r="N15"/>
  <c r="P59" i="3" l="1"/>
  <c r="N23" i="2"/>
  <c r="H24"/>
  <c r="H17"/>
  <c r="O17"/>
  <c r="Q23"/>
  <c r="R23"/>
  <c r="AC14"/>
  <c r="AB15"/>
  <c r="AC15" s="1"/>
  <c r="D18"/>
  <c r="R16"/>
  <c r="Q16"/>
  <c r="K17"/>
  <c r="I17"/>
  <c r="N16"/>
  <c r="O18" l="1"/>
  <c r="U18"/>
  <c r="AB23"/>
  <c r="AC23" s="1"/>
  <c r="H18"/>
  <c r="K18" s="1"/>
  <c r="AB10"/>
  <c r="AC10" s="1"/>
  <c r="AB16"/>
  <c r="AC16" s="1"/>
  <c r="D19"/>
  <c r="N17"/>
  <c r="R17"/>
  <c r="Q17"/>
  <c r="I18"/>
  <c r="O19" l="1"/>
  <c r="U19"/>
  <c r="H19"/>
  <c r="AB11"/>
  <c r="AC11" s="1"/>
  <c r="D20"/>
  <c r="U20" s="1"/>
  <c r="AB17"/>
  <c r="AC17" s="1"/>
  <c r="Q18"/>
  <c r="R18"/>
  <c r="K19"/>
  <c r="I19"/>
  <c r="N18"/>
  <c r="H20" l="1"/>
  <c r="O20"/>
  <c r="AB18"/>
  <c r="AC18" s="1"/>
  <c r="D21"/>
  <c r="R19"/>
  <c r="Q19"/>
  <c r="K20"/>
  <c r="I20"/>
  <c r="N19"/>
  <c r="O21" l="1"/>
  <c r="U21"/>
  <c r="H21"/>
  <c r="U29"/>
  <c r="D29"/>
  <c r="AB19"/>
  <c r="R20"/>
  <c r="Q20"/>
  <c r="I19" i="3"/>
  <c r="I21" i="2"/>
  <c r="N20"/>
  <c r="AB24" l="1"/>
  <c r="I29"/>
  <c r="F18" i="1" s="1"/>
  <c r="AC19" i="2"/>
  <c r="AB20"/>
  <c r="AC20" s="1"/>
  <c r="K21"/>
  <c r="K29" s="1"/>
  <c r="O29" l="1"/>
  <c r="I24" i="3" s="1"/>
  <c r="N24" i="2"/>
  <c r="AC24" s="1"/>
  <c r="H29"/>
  <c r="R21"/>
  <c r="R29" s="1"/>
  <c r="Q21"/>
  <c r="Q29" s="1"/>
  <c r="N21"/>
  <c r="N29" l="1"/>
  <c r="Q4" i="3" s="1"/>
  <c r="O19"/>
  <c r="Q29" s="1"/>
  <c r="AB21" i="2"/>
  <c r="AB29" s="1"/>
  <c r="Q6" i="3" l="1"/>
  <c r="F4" i="1"/>
  <c r="F16" s="1"/>
  <c r="AC21" i="2"/>
  <c r="AC29" s="1"/>
  <c r="O27" i="3"/>
  <c r="Q28" s="1"/>
  <c r="D19" i="1" l="1"/>
  <c r="F12"/>
  <c r="Q9" i="3"/>
  <c r="Q14" s="1"/>
  <c r="Q16" s="1"/>
  <c r="A19" i="1"/>
  <c r="Q31" i="3"/>
  <c r="Q42" s="1"/>
  <c r="Q43" l="1"/>
  <c r="Q44" s="1"/>
  <c r="Q48" s="1"/>
  <c r="Q50" l="1"/>
  <c r="Q49"/>
  <c r="F6" i="1"/>
  <c r="Q51" i="3" l="1"/>
  <c r="Q52" s="1"/>
  <c r="Q53" l="1"/>
  <c r="Q54" s="1"/>
  <c r="Q55" s="1"/>
  <c r="Q57" s="1"/>
  <c r="B60" s="1"/>
  <c r="A18" i="1" s="1"/>
  <c r="Q60" i="3" l="1"/>
  <c r="D18" i="1" s="1"/>
</calcChain>
</file>

<file path=xl/comments1.xml><?xml version="1.0" encoding="utf-8"?>
<comments xmlns="http://schemas.openxmlformats.org/spreadsheetml/2006/main">
  <authors>
    <author>C P</author>
  </authors>
  <commentList>
    <comment ref="AA2" authorId="0">
      <text>
        <r>
          <rPr>
            <b/>
            <sz val="9"/>
            <color indexed="81"/>
            <rFont val="Tahoma"/>
            <family val="2"/>
          </rPr>
          <t>C P:
Please select for NPS Employee "Yes"
Otherwise "No".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3" authorId="0">
      <text>
        <r>
          <rPr>
            <b/>
            <sz val="9"/>
            <color indexed="81"/>
            <rFont val="Tahoma"/>
            <family val="2"/>
          </rPr>
          <t>C P:
Please Select 
 Yes or 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3" authorId="0">
      <text>
        <r>
          <rPr>
            <b/>
            <sz val="9"/>
            <color indexed="81"/>
            <rFont val="Tahoma"/>
            <family val="2"/>
          </rPr>
          <t>C P:
Example
For Month July,
Please Select 7 in Drop Down Menu.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<sst xmlns="http://schemas.openxmlformats.org/spreadsheetml/2006/main" count="272" uniqueCount="207">
  <si>
    <t>PS Aarampura</t>
  </si>
  <si>
    <t>SI LOAN + INT</t>
  </si>
  <si>
    <t>Basic Pay</t>
  </si>
  <si>
    <t>Dearness Pay</t>
  </si>
  <si>
    <t>UPS Pathraj Kala</t>
  </si>
  <si>
    <t>UPS Manda</t>
  </si>
  <si>
    <t>thou chek izhfe;e ¼tks osru ls ugh dkVk x;k½</t>
  </si>
  <si>
    <t>ih-,y-vkbZ-</t>
  </si>
  <si>
    <t>LIC</t>
  </si>
  <si>
    <t>UPS Ramsinghpura</t>
  </si>
  <si>
    <t>edku fdjk;k NwV ds fy, jlhn dh vko';drk</t>
  </si>
  <si>
    <t>Net Payment
(in Rs.)</t>
  </si>
  <si>
    <t>;w- ,y- vkbZ- ih-@okf"kZd Iyku</t>
  </si>
  <si>
    <t>uke deZpkjh %</t>
  </si>
  <si>
    <t>#-</t>
  </si>
  <si>
    <t xml:space="preserve">                                                           'ks"k ¼4&amp;5½</t>
  </si>
  <si>
    <t xml:space="preserve"> x`g _.k ij C;kt</t>
  </si>
  <si>
    <t>Month</t>
  </si>
  <si>
    <t>GPF</t>
  </si>
  <si>
    <t>GPF LOAN</t>
  </si>
  <si>
    <t>SI</t>
  </si>
  <si>
    <t>RPMF</t>
  </si>
  <si>
    <t>jk"Vªh; cpr i= ij vnr C;kt</t>
  </si>
  <si>
    <t>UPS Kuhada Khurd</t>
  </si>
  <si>
    <t>UPS Banediya Charnan</t>
  </si>
  <si>
    <t>GSS Ganeshganj</t>
  </si>
  <si>
    <t>UPS Laxmipura Dhakaran</t>
  </si>
  <si>
    <t>UPS Raghunathpura</t>
  </si>
  <si>
    <t>UPS Sandla</t>
  </si>
  <si>
    <t>Spl. Pay</t>
  </si>
  <si>
    <t>D.A.</t>
  </si>
  <si>
    <t>H.R.A</t>
  </si>
  <si>
    <t>Other</t>
  </si>
  <si>
    <t>Gross Pay</t>
  </si>
  <si>
    <t>Taxable Amt</t>
  </si>
  <si>
    <t>vU; vk;</t>
  </si>
  <si>
    <t>PAN :</t>
  </si>
  <si>
    <t>Name :</t>
  </si>
  <si>
    <t>Post :</t>
  </si>
  <si>
    <t xml:space="preserve"> in %</t>
  </si>
  <si>
    <t xml:space="preserve">                                                              'ks"k ¼2&amp;3½</t>
  </si>
  <si>
    <t>¼v½x`g lEifr ls vk;%¼1½ Loa; ds mi;ksx esa &amp;'kwU;</t>
  </si>
  <si>
    <t>¼2½ izkIr fdjk;k #-</t>
  </si>
  <si>
    <t xml:space="preserve">¼c½ ?kVk;sa </t>
  </si>
  <si>
    <t xml:space="preserve"> x`gdj </t>
  </si>
  <si>
    <t xml:space="preserve">                                                          'ks"k &amp;@$¼7¼v½ ,oa ;ksx 7¼c½ dk½  </t>
  </si>
  <si>
    <t>ldy vk;                                                            ;ksx ¼8$9½</t>
  </si>
  <si>
    <t>(i)</t>
  </si>
  <si>
    <t>(x)</t>
  </si>
  <si>
    <t>(ii)</t>
  </si>
  <si>
    <t>(xi)</t>
  </si>
  <si>
    <r>
      <t>isa'ku Iyku gsrq va'knku¼/kkjk 80</t>
    </r>
    <r>
      <rPr>
        <sz val="12"/>
        <rFont val="Arial"/>
        <family val="2"/>
      </rPr>
      <t>ccc</t>
    </r>
    <r>
      <rPr>
        <sz val="12"/>
        <rFont val="DevLys 010"/>
      </rPr>
      <t>½</t>
    </r>
  </si>
  <si>
    <t>(iii)</t>
  </si>
  <si>
    <t>(xii)</t>
  </si>
  <si>
    <t>(iv)</t>
  </si>
  <si>
    <t>(xiii)</t>
  </si>
  <si>
    <t>(v)</t>
  </si>
  <si>
    <t>jk"Vªh; cpr Ldhe</t>
  </si>
  <si>
    <t>(xiv)</t>
  </si>
  <si>
    <t>(vi)</t>
  </si>
  <si>
    <t>(xv)</t>
  </si>
  <si>
    <t>LFkfxr okf"kZdh</t>
  </si>
  <si>
    <t>(vii)</t>
  </si>
  <si>
    <t>(xvi)</t>
  </si>
  <si>
    <t>(viii)</t>
  </si>
  <si>
    <t>(xvii)</t>
  </si>
  <si>
    <t>(ix)</t>
  </si>
  <si>
    <r>
      <rPr>
        <sz val="12"/>
        <rFont val="DevLys 010"/>
      </rPr>
      <t>;ksx</t>
    </r>
    <r>
      <rPr>
        <sz val="12"/>
        <rFont val="Times New Roman"/>
        <family val="1"/>
      </rPr>
      <t xml:space="preserve"> ( i </t>
    </r>
    <r>
      <rPr>
        <sz val="12"/>
        <rFont val="DevLys 010"/>
      </rPr>
      <t>ls</t>
    </r>
    <r>
      <rPr>
        <sz val="12"/>
        <rFont val="Times New Roman"/>
        <family val="1"/>
      </rPr>
      <t xml:space="preserve"> xvii )</t>
    </r>
  </si>
  <si>
    <t>dqy ;ksx 12 ¼ 1 ls 6 rd ½</t>
  </si>
  <si>
    <t xml:space="preserve"> vk;dj dh x.kuk  mijksDr dkWye 15 ds vk/kkj ij</t>
  </si>
  <si>
    <t>Nil</t>
  </si>
  <si>
    <t>2,50,001-5,00,000</t>
  </si>
  <si>
    <t>5,00,001-10,00,000</t>
  </si>
  <si>
    <t xml:space="preserve"> vk;dj dVkSrh
 dk fooj.k</t>
  </si>
  <si>
    <t>;ksx 19 
:i;s</t>
  </si>
  <si>
    <t>TOTAL</t>
  </si>
  <si>
    <t>Signature of Employee</t>
  </si>
  <si>
    <t>Signature of DDO</t>
  </si>
  <si>
    <t xml:space="preserve">  ;ksx 7¼c½</t>
  </si>
  <si>
    <r>
      <t>x`g fdjk;k] /kkjk 10¼13&amp;</t>
    </r>
    <r>
      <rPr>
        <sz val="10"/>
        <rFont val="Arial"/>
        <family val="2"/>
      </rPr>
      <t>A</t>
    </r>
    <r>
      <rPr>
        <sz val="12"/>
        <rFont val="DevLys 010"/>
      </rPr>
      <t>½ ds vUrxrZ ,oa /kkjk 10¼14½ds vUrxrZ vU; Hkrs tks dj eqDÙk gSA</t>
    </r>
  </si>
  <si>
    <t xml:space="preserve">                                                             dqy 'ks"k &amp;@$¼6,oa 7½</t>
  </si>
  <si>
    <r>
      <t xml:space="preserve">4- /kkjk </t>
    </r>
    <r>
      <rPr>
        <sz val="10"/>
        <rFont val="Arial"/>
        <family val="2"/>
      </rPr>
      <t>80E</t>
    </r>
    <r>
      <rPr>
        <sz val="12"/>
        <rFont val="Arial"/>
        <family val="2"/>
      </rPr>
      <t xml:space="preserve"> </t>
    </r>
    <r>
      <rPr>
        <sz val="12"/>
        <rFont val="DevLys 010"/>
      </rPr>
      <t>mPp f'k{kk gsrq fy, _.k dk C;kt</t>
    </r>
  </si>
  <si>
    <r>
      <t xml:space="preserve">5- /kkjk </t>
    </r>
    <r>
      <rPr>
        <sz val="10"/>
        <rFont val="Arial"/>
        <family val="2"/>
      </rPr>
      <t>80G</t>
    </r>
    <r>
      <rPr>
        <sz val="12"/>
        <rFont val="DevLys 010"/>
      </rPr>
      <t xml:space="preserve"> /kekZFkZ laLFkkvksa vkfn dks fn;s nku ¼ d Js.kh esa 100 izfr'kr ,oa [k Js.kh esa 50 izfr'kr½</t>
    </r>
  </si>
  <si>
    <r>
      <t xml:space="preserve">dqy dVkSrh </t>
    </r>
    <r>
      <rPr>
        <sz val="10"/>
        <rFont val="Arial"/>
        <family val="2"/>
      </rPr>
      <t>( 11 + 12)</t>
    </r>
  </si>
  <si>
    <r>
      <t xml:space="preserve">dj ;ksX; vk; </t>
    </r>
    <r>
      <rPr>
        <sz val="10"/>
        <rFont val="Arial"/>
        <family val="2"/>
      </rPr>
      <t>( 10 - 13 )</t>
    </r>
  </si>
  <si>
    <r>
      <t xml:space="preserve">dqy vk; dh jkf'k dks lEiw.kZ djuk ¼ nl ds xq.kd esa ½ /kkjk </t>
    </r>
    <r>
      <rPr>
        <sz val="10"/>
        <rFont val="Arial"/>
        <family val="2"/>
      </rPr>
      <t>288A</t>
    </r>
  </si>
  <si>
    <t>¼1½ ;ksx vk;dj</t>
  </si>
  <si>
    <r>
      <t xml:space="preserve">?kVkb;s  %&amp; jkgr /kkjk </t>
    </r>
    <r>
      <rPr>
        <sz val="10"/>
        <rFont val="Arial"/>
        <family val="2"/>
      </rPr>
      <t>89</t>
    </r>
    <r>
      <rPr>
        <sz val="12"/>
        <rFont val="DevLys 010"/>
      </rPr>
      <t xml:space="preserve"> ds rgr </t>
    </r>
  </si>
  <si>
    <t>edku fdjk;k HkRrk ¼ NwV tks ysuh gS½</t>
  </si>
  <si>
    <t>x`g lEifr ls izkIr fdjk;k &amp; vk;</t>
  </si>
  <si>
    <t xml:space="preserve">x`gdj </t>
  </si>
  <si>
    <t>x`g _.k fdLr ewy ¼tks osru ls ugha dkVk x;k½</t>
  </si>
  <si>
    <t>x`g _.k fdLr C;kt ¼tks osru ls ugha dkVk x;k½</t>
  </si>
  <si>
    <r>
      <t xml:space="preserve">yksd Hkfo"; fuf/k </t>
    </r>
    <r>
      <rPr>
        <sz val="8"/>
        <rFont val="Arial"/>
        <family val="2"/>
      </rPr>
      <t>(PPF)</t>
    </r>
  </si>
  <si>
    <r>
      <t xml:space="preserve">jk"Vªh; cpr i= </t>
    </r>
    <r>
      <rPr>
        <sz val="8"/>
        <rFont val="Arial"/>
        <family val="2"/>
      </rPr>
      <t>(NSC)</t>
    </r>
  </si>
  <si>
    <r>
      <t xml:space="preserve">3- /kkjk </t>
    </r>
    <r>
      <rPr>
        <sz val="10"/>
        <rFont val="Arial"/>
        <family val="2"/>
      </rPr>
      <t>80DDB</t>
    </r>
    <r>
      <rPr>
        <sz val="12"/>
        <rFont val="Arial"/>
        <family val="2"/>
      </rPr>
      <t xml:space="preserve"> </t>
    </r>
    <r>
      <rPr>
        <sz val="12"/>
        <rFont val="DevLys 010"/>
      </rPr>
      <t xml:space="preserve">fof'k"V jksaxksa ds mipkj gsrq dVkSrh </t>
    </r>
    <r>
      <rPr>
        <sz val="8"/>
        <rFont val="DevLys 010 "/>
      </rPr>
      <t>¼vf/kdre :40]000] lhfu;j flVhtu gsrq : 60]000½</t>
    </r>
  </si>
  <si>
    <t xml:space="preserve">jkgr /kkjk 89 ds rgr </t>
  </si>
  <si>
    <t>Tax Deposited</t>
  </si>
  <si>
    <t>Surrender</t>
  </si>
  <si>
    <t>Bonus</t>
  </si>
  <si>
    <r>
      <t xml:space="preserve"> ¼</t>
    </r>
    <r>
      <rPr>
        <sz val="12"/>
        <rFont val="Calibri"/>
        <family val="2"/>
        <scheme val="minor"/>
      </rPr>
      <t>i</t>
    </r>
    <r>
      <rPr>
        <sz val="12"/>
        <rFont val="DevLys 010"/>
      </rPr>
      <t>½euksjatu Hkrk /kkjk 16 ¼</t>
    </r>
    <r>
      <rPr>
        <sz val="12"/>
        <rFont val="Arial"/>
        <family val="2"/>
      </rPr>
      <t>ii</t>
    </r>
    <r>
      <rPr>
        <sz val="12"/>
        <rFont val="DevLys 010"/>
      </rPr>
      <t>½ ds vUrxrZ ¼ vf/kdre lhek : 5000 ½</t>
    </r>
  </si>
  <si>
    <r>
      <t xml:space="preserve"> ¼</t>
    </r>
    <r>
      <rPr>
        <sz val="12"/>
        <rFont val="Calibri"/>
        <family val="2"/>
        <scheme val="minor"/>
      </rPr>
      <t>ii</t>
    </r>
    <r>
      <rPr>
        <sz val="12"/>
        <rFont val="DevLys 010"/>
      </rPr>
      <t>½ O;o;k; dj /kkjk 16 ¼</t>
    </r>
    <r>
      <rPr>
        <sz val="12"/>
        <rFont val="Arial"/>
        <family val="2"/>
      </rPr>
      <t>iii</t>
    </r>
    <r>
      <rPr>
        <sz val="12"/>
        <rFont val="DevLys 010"/>
      </rPr>
      <t xml:space="preserve">½ ds vUrxrZ </t>
    </r>
  </si>
  <si>
    <r>
      <t>?kVkb;s dVkSSfr;k %&amp; /kkjk</t>
    </r>
    <r>
      <rPr>
        <sz val="12"/>
        <rFont val="Arial"/>
        <family val="2"/>
      </rPr>
      <t xml:space="preserve"> </t>
    </r>
    <r>
      <rPr>
        <sz val="12"/>
        <rFont val="Calibri"/>
        <family val="2"/>
        <scheme val="minor"/>
      </rPr>
      <t xml:space="preserve">US </t>
    </r>
    <r>
      <rPr>
        <sz val="10"/>
        <rFont val="Arial"/>
        <family val="2"/>
      </rPr>
      <t>80C, 80CCC,80CCD (1)</t>
    </r>
  </si>
  <si>
    <r>
      <t>jkT; chek ¼</t>
    </r>
    <r>
      <rPr>
        <sz val="12"/>
        <rFont val="Calibri"/>
        <family val="2"/>
        <scheme val="minor"/>
      </rPr>
      <t>SI)</t>
    </r>
  </si>
  <si>
    <r>
      <t>thou chek izhfe;e ¼</t>
    </r>
    <r>
      <rPr>
        <sz val="12"/>
        <rFont val="Calibri"/>
        <family val="2"/>
        <scheme val="minor"/>
      </rPr>
      <t>LIC)</t>
    </r>
  </si>
  <si>
    <r>
      <t>jk"Vªh; cpr i= ¼</t>
    </r>
    <r>
      <rPr>
        <sz val="12"/>
        <rFont val="Calibri"/>
        <family val="2"/>
        <scheme val="minor"/>
      </rPr>
      <t>NSC)</t>
    </r>
  </si>
  <si>
    <r>
      <t>yksd Hkfo"; fuf/k ¼</t>
    </r>
    <r>
      <rPr>
        <sz val="12"/>
        <rFont val="Calibri"/>
        <family val="2"/>
        <scheme val="minor"/>
      </rPr>
      <t>PPF)</t>
    </r>
  </si>
  <si>
    <r>
      <t>jk"Vªh; cpr Ldhe ¼</t>
    </r>
    <r>
      <rPr>
        <sz val="12"/>
        <rFont val="Calibri"/>
        <family val="2"/>
        <scheme val="minor"/>
      </rPr>
      <t>NSS)</t>
    </r>
  </si>
  <si>
    <r>
      <t>lkekU; izko/kk;h fuf/k ¼</t>
    </r>
    <r>
      <rPr>
        <sz val="12"/>
        <rFont val="Calibri"/>
        <family val="2"/>
        <scheme val="minor"/>
      </rPr>
      <t>GPF)</t>
    </r>
  </si>
  <si>
    <t xml:space="preserve"> vU; dVkSfr;kW</t>
  </si>
  <si>
    <r>
      <t xml:space="preserve">7- /kkjk </t>
    </r>
    <r>
      <rPr>
        <sz val="10"/>
        <rFont val="Calibri"/>
        <family val="2"/>
        <scheme val="minor"/>
      </rPr>
      <t>80 TTA</t>
    </r>
    <r>
      <rPr>
        <sz val="12"/>
        <rFont val="DevLys 010"/>
      </rPr>
      <t xml:space="preserve"> cpr [kkrs ij vf/kdre C;kt :- 10]000 </t>
    </r>
    <r>
      <rPr>
        <sz val="10"/>
        <rFont val="Calibri"/>
        <family val="2"/>
        <scheme val="minor"/>
      </rPr>
      <t>194(IA)</t>
    </r>
  </si>
  <si>
    <r>
      <rPr>
        <sz val="10"/>
        <rFont val="Calibri"/>
        <family val="2"/>
        <scheme val="minor"/>
      </rPr>
      <t>10,00,000</t>
    </r>
    <r>
      <rPr>
        <sz val="10"/>
        <rFont val="DevLys 010"/>
      </rPr>
      <t xml:space="preserve"> ls vf/kd</t>
    </r>
  </si>
  <si>
    <r>
      <t xml:space="preserve">10,00,000 </t>
    </r>
    <r>
      <rPr>
        <sz val="12"/>
        <rFont val="DevLys 010"/>
      </rPr>
      <t>ls vf/kd</t>
    </r>
  </si>
  <si>
    <t>,d O;fDr dj nkrk</t>
  </si>
  <si>
    <r>
      <t xml:space="preserve">2,50,000 </t>
    </r>
    <r>
      <rPr>
        <sz val="12"/>
        <rFont val="DevLys 010"/>
      </rPr>
      <t>rd</t>
    </r>
  </si>
  <si>
    <r>
      <t xml:space="preserve">5,00,000 </t>
    </r>
    <r>
      <rPr>
        <sz val="12"/>
        <rFont val="DevLys 010"/>
      </rPr>
      <t>rd</t>
    </r>
  </si>
  <si>
    <t>dqy 'ks"k vk;dj</t>
  </si>
  <si>
    <r>
      <t>O;o;k; dj /kkjk 16 ¼</t>
    </r>
    <r>
      <rPr>
        <sz val="12"/>
        <rFont val="Calibri"/>
        <family val="2"/>
        <scheme val="minor"/>
      </rPr>
      <t>iii</t>
    </r>
    <r>
      <rPr>
        <sz val="12"/>
        <rFont val="DevLys 010"/>
      </rPr>
      <t xml:space="preserve">½ ds vUrxrZ </t>
    </r>
  </si>
  <si>
    <t>Fixation Arrear</t>
  </si>
  <si>
    <r>
      <t xml:space="preserve"> fdjk;s dk </t>
    </r>
    <r>
      <rPr>
        <sz val="10"/>
        <rFont val="Calibri"/>
        <family val="2"/>
        <scheme val="minor"/>
      </rPr>
      <t>30%</t>
    </r>
  </si>
  <si>
    <r>
      <t xml:space="preserve">x`g _.k fdLr </t>
    </r>
    <r>
      <rPr>
        <sz val="10"/>
        <rFont val="DevLys 010"/>
      </rPr>
      <t>¼</t>
    </r>
    <r>
      <rPr>
        <sz val="10"/>
        <rFont val="Calibri"/>
        <family val="2"/>
        <scheme val="minor"/>
      </rPr>
      <t>HBA Premium)</t>
    </r>
  </si>
  <si>
    <t>Vh-Mh-,l-
:Ik;s</t>
  </si>
  <si>
    <t>Income Tax / TDS</t>
  </si>
  <si>
    <t>Chandra Prakash Kurmi</t>
  </si>
  <si>
    <t>Leave  Pay</t>
  </si>
  <si>
    <t>Salary Arrear</t>
  </si>
  <si>
    <t xml:space="preserve">Other </t>
  </si>
  <si>
    <t>Group Insurance  Acc.</t>
  </si>
  <si>
    <t>HBA Interest</t>
  </si>
  <si>
    <t>HBA Premium</t>
  </si>
  <si>
    <t>Total
Deduction</t>
  </si>
  <si>
    <t>Govt. C.Pen.F.</t>
  </si>
  <si>
    <t>Emp. C.Pen.F.</t>
  </si>
  <si>
    <t>Gross  Salary</t>
  </si>
  <si>
    <t>Bill No. - Date 
/ 
TV No. - Date</t>
  </si>
  <si>
    <t>Washing Allow.</t>
  </si>
  <si>
    <t>ofj"B ukxfjd ¼60 ls 80 o"kZ rd½</t>
  </si>
  <si>
    <r>
      <t xml:space="preserve">3,00,000 </t>
    </r>
    <r>
      <rPr>
        <sz val="12"/>
        <rFont val="DevLys 010"/>
      </rPr>
      <t>rd</t>
    </r>
  </si>
  <si>
    <t>3,00,001-5,00,000</t>
  </si>
  <si>
    <t>Bank A/c :</t>
  </si>
  <si>
    <t>¼3½ 'ks"k vk;dj ¼1&amp;2½</t>
  </si>
  <si>
    <r>
      <t xml:space="preserve">¼4½ </t>
    </r>
    <r>
      <rPr>
        <sz val="12"/>
        <rFont val="DevLys 010"/>
      </rPr>
      <t xml:space="preserve">f'k{kk midj </t>
    </r>
    <r>
      <rPr>
        <sz val="10"/>
        <rFont val="Arial"/>
        <family val="2"/>
      </rPr>
      <t>2%</t>
    </r>
    <r>
      <rPr>
        <sz val="12"/>
        <rFont val="DevLys 010"/>
      </rPr>
      <t xml:space="preserve"> ,oa mPp f'k{kk ds fy, vf/kHkkj </t>
    </r>
    <r>
      <rPr>
        <sz val="10"/>
        <rFont val="Arial"/>
        <family val="2"/>
      </rPr>
      <t>1%  (</t>
    </r>
    <r>
      <rPr>
        <sz val="12"/>
        <rFont val="DevLys 010"/>
      </rPr>
      <t xml:space="preserve">;ksx </t>
    </r>
    <r>
      <rPr>
        <sz val="10"/>
        <rFont val="Arial"/>
        <family val="2"/>
      </rPr>
      <t>3%</t>
    </r>
    <r>
      <rPr>
        <sz val="12"/>
        <rFont val="Arial"/>
        <family val="2"/>
      </rPr>
      <t>)</t>
    </r>
  </si>
  <si>
    <r>
      <rPr>
        <b/>
        <sz val="12"/>
        <rFont val="DevLys 010"/>
      </rPr>
      <t>¼2½</t>
    </r>
    <r>
      <rPr>
        <sz val="12"/>
        <rFont val="DevLys 010"/>
      </rPr>
      <t xml:space="preserve"> NwV ?kkjk 87¼</t>
    </r>
    <r>
      <rPr>
        <sz val="10"/>
        <rFont val="Calibri"/>
        <family val="2"/>
        <scheme val="minor"/>
      </rPr>
      <t>A</t>
    </r>
    <r>
      <rPr>
        <sz val="12"/>
        <rFont val="DevLys 010"/>
      </rPr>
      <t>½ ¼2-00 yk[k ls 5-00 yk[k rd dh dj ;ksX; vk; ij vk;dj dh NwV :- 2000 rd½</t>
    </r>
  </si>
  <si>
    <t xml:space="preserve">                                                             dqy vk;dj ¼3$4½</t>
  </si>
  <si>
    <t>gLrk{kj</t>
  </si>
  <si>
    <t>AFFPK9247R</t>
  </si>
  <si>
    <t xml:space="preserve">                        vf/kdre dVkSrh dh jkf'k 1-50 yk[k #i, rd</t>
  </si>
  <si>
    <t>00000123456789</t>
  </si>
  <si>
    <r>
      <rPr>
        <sz val="10"/>
        <rFont val="Arial"/>
        <family val="2"/>
      </rPr>
      <t>(A)</t>
    </r>
    <r>
      <rPr>
        <sz val="12"/>
        <rFont val="Arial"/>
        <family val="2"/>
      </rPr>
      <t xml:space="preserve"> </t>
    </r>
    <r>
      <rPr>
        <sz val="12"/>
        <rFont val="DevLys 010"/>
      </rPr>
      <t xml:space="preserve">vf/kdre lhek 1]50]000@&amp; ¼/kkjk </t>
    </r>
    <r>
      <rPr>
        <sz val="10"/>
        <rFont val="Arial"/>
        <family val="2"/>
      </rPr>
      <t>80CCE</t>
    </r>
    <r>
      <rPr>
        <sz val="12"/>
        <rFont val="DevLys 010"/>
      </rPr>
      <t xml:space="preserve"> ½ ] ¼/kkjk </t>
    </r>
    <r>
      <rPr>
        <sz val="10"/>
        <rFont val="Arial"/>
        <family val="2"/>
      </rPr>
      <t>80CCD (2),</t>
    </r>
    <r>
      <rPr>
        <sz val="12"/>
        <rFont val="Arial"/>
        <family val="2"/>
      </rPr>
      <t xml:space="preserve"> </t>
    </r>
    <r>
      <rPr>
        <sz val="12"/>
        <rFont val="DevLys 010"/>
      </rPr>
      <t>ds vykok</t>
    </r>
  </si>
  <si>
    <t>DA Arrear 113%</t>
  </si>
  <si>
    <t>Salary and Deduction Detail for FY 2015-2016</t>
  </si>
  <si>
    <t>vk;dj x.kuk izi= o"kZ 2015&amp;2016 ¼dj fu/kkZj.k o"kZ 2016&amp;2017½</t>
  </si>
  <si>
    <t>vk; %  o"kZ&amp;2015&amp;16 esa izkIr dqy osru ¼ dj ;ksX; lqfo/kkvksa ds eqY; lfgr ½</t>
  </si>
  <si>
    <t>flrEcj 2015
rd  :i;s</t>
  </si>
  <si>
    <t>fnlEcj 2015
rd  :i;s</t>
  </si>
  <si>
    <t>tuojh 2016
rd :i;s</t>
  </si>
  <si>
    <t>Qjojh 2016
rd  :i;s</t>
  </si>
  <si>
    <t>Office of the Principal, Govt. Sr. Sec. Sch. Todaraisingh,  (Tonk)</t>
  </si>
  <si>
    <r>
      <t>lkHkkj % pUnz izdk'k dqehZ izk/;kid HkkSfrdh] jk-m-ek-fo- VksMkjk;flag ¼Vksad½  
eks0&amp;</t>
    </r>
    <r>
      <rPr>
        <sz val="13"/>
        <color theme="0"/>
        <rFont val="Calibri"/>
        <family val="2"/>
        <scheme val="minor"/>
      </rPr>
      <t>9602000151,   email- cpkurmi@gmail.com</t>
    </r>
  </si>
  <si>
    <t xml:space="preserve">DA Arrear 119% </t>
  </si>
  <si>
    <t>ROP (If any put the value in minus)</t>
  </si>
  <si>
    <t xml:space="preserve">V;w'ku Qhl </t>
  </si>
  <si>
    <r>
      <t xml:space="preserve">ih-,y-vkbZ- </t>
    </r>
    <r>
      <rPr>
        <sz val="10"/>
        <rFont val="DevLys 010"/>
      </rPr>
      <t>¼</t>
    </r>
    <r>
      <rPr>
        <sz val="10"/>
        <rFont val="Calibri"/>
        <family val="2"/>
        <scheme val="minor"/>
      </rPr>
      <t>PLI)</t>
    </r>
  </si>
  <si>
    <r>
      <t>LFkfxr okf"kZdh ¼</t>
    </r>
    <r>
      <rPr>
        <sz val="10"/>
        <rFont val="Calibri"/>
        <family val="2"/>
        <scheme val="minor"/>
      </rPr>
      <t>Defferred Annuty)</t>
    </r>
  </si>
  <si>
    <t>bfDoVh fyad lsfoax Ldhe</t>
  </si>
  <si>
    <t>vU;</t>
  </si>
  <si>
    <t>vU; cpr ¼/kkjk 80 lh ds vUrxZr½</t>
  </si>
  <si>
    <r>
      <t>/kkjk 80</t>
    </r>
    <r>
      <rPr>
        <sz val="10"/>
        <rFont val="Calibri"/>
        <family val="2"/>
        <scheme val="minor"/>
      </rPr>
      <t xml:space="preserve">E - </t>
    </r>
    <r>
      <rPr>
        <sz val="12"/>
        <rFont val="DevLys 010"/>
      </rPr>
      <t xml:space="preserve">mPp f'k{kk gsrq fy, _.k dk C;kt ¼/kkjk </t>
    </r>
    <r>
      <rPr>
        <sz val="8"/>
        <rFont val="Arial"/>
        <family val="2"/>
      </rPr>
      <t>80E</t>
    </r>
    <r>
      <rPr>
        <sz val="12"/>
        <rFont val="DevLys 010"/>
      </rPr>
      <t>½</t>
    </r>
  </si>
  <si>
    <r>
      <t>/kkjk 80</t>
    </r>
    <r>
      <rPr>
        <sz val="10"/>
        <rFont val="Calibri"/>
        <family val="2"/>
        <scheme val="minor"/>
      </rPr>
      <t xml:space="preserve">U - </t>
    </r>
    <r>
      <rPr>
        <sz val="12"/>
        <rFont val="DevLys 010"/>
      </rPr>
      <t xml:space="preserve">LFkkbZ :i ls 'kkjhfjd vleFkZrrk </t>
    </r>
  </si>
  <si>
    <r>
      <t>/kkjk 80</t>
    </r>
    <r>
      <rPr>
        <sz val="10"/>
        <rFont val="Calibri"/>
        <family val="2"/>
        <scheme val="minor"/>
      </rPr>
      <t xml:space="preserve">DD - </t>
    </r>
    <r>
      <rPr>
        <sz val="12"/>
        <rFont val="DevLys 010"/>
      </rPr>
      <t xml:space="preserve">fodykax vkfJrksa ds fpfdRlk mipkj </t>
    </r>
  </si>
  <si>
    <r>
      <t>/kkjk 80</t>
    </r>
    <r>
      <rPr>
        <sz val="10"/>
        <rFont val="Calibri"/>
        <family val="2"/>
        <scheme val="minor"/>
      </rPr>
      <t xml:space="preserve">DDB - </t>
    </r>
    <r>
      <rPr>
        <sz val="12"/>
        <rFont val="DevLys 010"/>
      </rPr>
      <t>fof'k"V jksxksa ds mipkj gsrq dVkSrh</t>
    </r>
    <r>
      <rPr>
        <sz val="12"/>
        <rFont val="Arial"/>
        <family val="2"/>
      </rPr>
      <t xml:space="preserve"> </t>
    </r>
    <r>
      <rPr>
        <sz val="12"/>
        <rFont val="DevLys 010 "/>
      </rPr>
      <t>¼vf/kdre 40000 :½</t>
    </r>
  </si>
  <si>
    <r>
      <t>/kkjk 80</t>
    </r>
    <r>
      <rPr>
        <sz val="10"/>
        <rFont val="Calibri"/>
        <family val="2"/>
        <scheme val="minor"/>
      </rPr>
      <t>TTA -</t>
    </r>
    <r>
      <rPr>
        <sz val="12"/>
        <rFont val="DevLys 010"/>
      </rPr>
      <t xml:space="preserve"> cpr [kkrs ij vf/kdre C;kt :- 10]000 194</t>
    </r>
    <r>
      <rPr>
        <sz val="10"/>
        <rFont val="Calibri"/>
        <family val="2"/>
        <scheme val="minor"/>
      </rPr>
      <t>(IA)</t>
    </r>
  </si>
  <si>
    <r>
      <t>/kkjk 80</t>
    </r>
    <r>
      <rPr>
        <sz val="10"/>
        <rFont val="Calibri"/>
        <family val="2"/>
        <scheme val="minor"/>
      </rPr>
      <t xml:space="preserve">CCC - </t>
    </r>
    <r>
      <rPr>
        <sz val="12"/>
        <rFont val="DevLys 010"/>
      </rPr>
      <t>isa'ku Iyku gsrq va'knku</t>
    </r>
  </si>
  <si>
    <t>Prepared by : Chandra Prakash Kurmi
Lecturer, GSSS Todaraisingh, Tonk  Mo. +919602000151
You may call after 5PM</t>
  </si>
  <si>
    <t>;g odZcqd f'k{kdksa dh mi;ksfxrk ds fy, rS;kj dh xbZ gSA ladyu ,oa x.kuk esa iw.kZ lko/kkuh j[kh xbZ gSA fQj Hkh =qfV ;k fdlh Hkh izdkj dh fofHkUurk dh fLFkfr esa vk;dj foHkkx ds fu;e gh ekU; gSA rS;kjdrkZ dk dksbZ mRrjnkf;Ro ugha gksxkA</t>
  </si>
  <si>
    <t>384- 07/04/2015</t>
  </si>
  <si>
    <t>2775- 01/05/2015</t>
  </si>
  <si>
    <t>7700- 01/06/2015</t>
  </si>
  <si>
    <t>13503- 09/07/2015</t>
  </si>
  <si>
    <t>15949- 03/08/2015</t>
  </si>
  <si>
    <t>20579- 26/08/2015</t>
  </si>
  <si>
    <t>26841- 09/10/2015</t>
  </si>
  <si>
    <t>4107- 06/05/2015</t>
  </si>
  <si>
    <r>
      <t xml:space="preserve">8- /kkjk </t>
    </r>
    <r>
      <rPr>
        <sz val="10"/>
        <rFont val="Calibri"/>
        <family val="2"/>
        <scheme val="minor"/>
      </rPr>
      <t>80 GGA</t>
    </r>
    <r>
      <rPr>
        <sz val="12"/>
        <rFont val="DevLys 010"/>
      </rPr>
      <t xml:space="preserve"> vuqeksfnr oSKkfud] lkekftd] xzkeh.k fodkl vkfn gsrq fn;k x;k nku</t>
    </r>
  </si>
  <si>
    <r>
      <t xml:space="preserve">6- /kkjk </t>
    </r>
    <r>
      <rPr>
        <sz val="10"/>
        <rFont val="Arial"/>
        <family val="2"/>
      </rPr>
      <t>80U</t>
    </r>
    <r>
      <rPr>
        <sz val="12"/>
        <rFont val="DevLys 010"/>
      </rPr>
      <t xml:space="preserve"> LFkkbZ :i ls 'kkjhfjd vleFkZrrk dh n'kk esa </t>
    </r>
    <r>
      <rPr>
        <sz val="8"/>
        <rFont val="DevLys 010"/>
      </rPr>
      <t>¼vf/kdre 75]000 rFkk  vf/kfu;e 1995ds vuqlkj 125]000½</t>
    </r>
  </si>
  <si>
    <r>
      <t xml:space="preserve">2- /kkjk </t>
    </r>
    <r>
      <rPr>
        <sz val="10"/>
        <rFont val="Arial"/>
        <family val="2"/>
      </rPr>
      <t>80DD</t>
    </r>
    <r>
      <rPr>
        <sz val="12"/>
        <rFont val="Arial"/>
        <family val="2"/>
      </rPr>
      <t xml:space="preserve"> </t>
    </r>
    <r>
      <rPr>
        <sz val="12"/>
        <rFont val="DevLys 010"/>
      </rPr>
      <t xml:space="preserve">fodykax vkfJrksa ds fpfdRlk mipkj </t>
    </r>
    <r>
      <rPr>
        <sz val="8.5"/>
        <rFont val="DevLys 010"/>
      </rPr>
      <t>¼vf/kdre 75]000 rFkk fodykaxrk vf/kfu;e 1995ds buqlkj 100]000½</t>
    </r>
  </si>
  <si>
    <r>
      <t xml:space="preserve">1-/kkjk </t>
    </r>
    <r>
      <rPr>
        <sz val="10"/>
        <rFont val="Arial"/>
        <family val="2"/>
      </rPr>
      <t>80 D</t>
    </r>
    <r>
      <rPr>
        <sz val="12"/>
        <rFont val="Arial"/>
        <family val="2"/>
      </rPr>
      <t xml:space="preserve"> ,</t>
    </r>
    <r>
      <rPr>
        <sz val="12"/>
        <rFont val="DevLys 010"/>
      </rPr>
      <t xml:space="preserve">fpfdRlk chek izhfe;e </t>
    </r>
    <r>
      <rPr>
        <sz val="8.5"/>
        <rFont val="DevLys 010"/>
      </rPr>
      <t>¼Lo;a]ifr@iRuh o cPpksa ds fy, :25000] ekrk&amp;firk ds fy, :25000]ekrk&amp;firk lhfu;j flVhtu :30000½</t>
    </r>
  </si>
  <si>
    <r>
      <rPr>
        <sz val="10"/>
        <rFont val="Arial"/>
        <family val="2"/>
      </rPr>
      <t>(B)</t>
    </r>
    <r>
      <rPr>
        <sz val="12"/>
        <rFont val="Arial"/>
        <family val="2"/>
      </rPr>
      <t xml:space="preserve"> </t>
    </r>
    <r>
      <rPr>
        <sz val="12"/>
        <rFont val="DevLys 010"/>
      </rPr>
      <t xml:space="preserve">?kVkb;s&amp; /kkjk </t>
    </r>
    <r>
      <rPr>
        <sz val="10"/>
        <rFont val="Arial"/>
        <family val="2"/>
      </rPr>
      <t>80CCD(2)</t>
    </r>
    <r>
      <rPr>
        <sz val="12"/>
        <rFont val="DevLys 010"/>
      </rPr>
      <t>] fu;ksDrk }kjk isa'ku va'knku dh jkf'k ¼vf/kdre osru dk 10</t>
    </r>
    <r>
      <rPr>
        <sz val="9"/>
        <rFont val="Arial"/>
        <family val="2"/>
      </rPr>
      <t>%</t>
    </r>
    <r>
      <rPr>
        <sz val="12"/>
        <rFont val="Arial"/>
        <family val="2"/>
      </rPr>
      <t xml:space="preserve">) </t>
    </r>
    <r>
      <rPr>
        <sz val="12"/>
        <rFont val="DevLys 010"/>
      </rPr>
      <t>i`Fkd ls NwV</t>
    </r>
  </si>
  <si>
    <t>Yes</t>
  </si>
  <si>
    <r>
      <t>/kkjk 80</t>
    </r>
    <r>
      <rPr>
        <sz val="10"/>
        <rFont val="Calibri"/>
        <family val="2"/>
        <scheme val="minor"/>
      </rPr>
      <t>CCD(1B) -</t>
    </r>
    <r>
      <rPr>
        <sz val="12"/>
        <rFont val="DevLys 010"/>
      </rPr>
      <t xml:space="preserve"> uohu isa'ku ;kstuk esa vfrfjDr va'knku ¼vf/kdre :- 50]000½</t>
    </r>
  </si>
  <si>
    <r>
      <t>/kkjk 80</t>
    </r>
    <r>
      <rPr>
        <sz val="10"/>
        <rFont val="Calibri"/>
        <family val="2"/>
        <scheme val="minor"/>
      </rPr>
      <t xml:space="preserve">D - </t>
    </r>
    <r>
      <rPr>
        <sz val="12"/>
        <rFont val="DevLys 010"/>
      </rPr>
      <t xml:space="preserve">fpfdRlk chek izhfe;e ¼/kkjk </t>
    </r>
    <r>
      <rPr>
        <sz val="8"/>
        <rFont val="Arial"/>
        <family val="2"/>
      </rPr>
      <t>80D</t>
    </r>
    <r>
      <rPr>
        <sz val="12"/>
        <rFont val="DevLys 010"/>
      </rPr>
      <t>½</t>
    </r>
  </si>
  <si>
    <t>V;w'ku Qhl</t>
  </si>
  <si>
    <t>Rebate Under Section
80C, 80CCC, 80CCD(1)</t>
  </si>
  <si>
    <r>
      <t xml:space="preserve">/kkjk 80 </t>
    </r>
    <r>
      <rPr>
        <sz val="10"/>
        <rFont val="Calibri"/>
        <family val="2"/>
        <scheme val="minor"/>
      </rPr>
      <t>GGA -</t>
    </r>
    <r>
      <rPr>
        <sz val="12"/>
        <rFont val="DevLys 010"/>
      </rPr>
      <t xml:space="preserve"> vuqeksfnr oSKkfud]lkekftd]xzkeh.k fodkl vkfn gsrq fn;k x;k nku</t>
    </r>
  </si>
  <si>
    <r>
      <t>/kkjk 80</t>
    </r>
    <r>
      <rPr>
        <sz val="10"/>
        <rFont val="Calibri"/>
        <family val="2"/>
        <scheme val="minor"/>
      </rPr>
      <t>G -</t>
    </r>
    <r>
      <rPr>
        <sz val="12"/>
        <rFont val="DevLys 010"/>
      </rPr>
      <t xml:space="preserve"> /kekZFkZ laLFkkvksa vkfn dks fn;s nku ¼d Js.kh 100</t>
    </r>
    <r>
      <rPr>
        <sz val="8"/>
        <rFont val="Arial"/>
        <family val="2"/>
      </rPr>
      <t>%</t>
    </r>
    <r>
      <rPr>
        <sz val="12"/>
        <rFont val="DevLys 010"/>
      </rPr>
      <t xml:space="preserve"> ,oa [k Js.kh 50</t>
    </r>
    <r>
      <rPr>
        <sz val="8"/>
        <rFont val="Arial"/>
        <family val="2"/>
      </rPr>
      <t>%</t>
    </r>
    <r>
      <rPr>
        <sz val="12"/>
        <rFont val="DevLys 010"/>
      </rPr>
      <t>½</t>
    </r>
  </si>
  <si>
    <r>
      <t xml:space="preserve">;ksx </t>
    </r>
    <r>
      <rPr>
        <sz val="10"/>
        <rFont val="Arial"/>
        <family val="2"/>
      </rPr>
      <t>11(A+B+C)</t>
    </r>
    <r>
      <rPr>
        <sz val="12"/>
        <rFont val="Arial"/>
        <family val="2"/>
      </rPr>
      <t xml:space="preserve">      </t>
    </r>
  </si>
  <si>
    <r>
      <t>euksjatu Hkrk /kkjk 16 ¼</t>
    </r>
    <r>
      <rPr>
        <sz val="10"/>
        <rFont val="Times New Roman"/>
        <family val="1"/>
      </rPr>
      <t>ii</t>
    </r>
    <r>
      <rPr>
        <sz val="12"/>
        <rFont val="DevLys 010"/>
      </rPr>
      <t xml:space="preserve">½ ds vUrxZr </t>
    </r>
  </si>
  <si>
    <r>
      <t xml:space="preserve">ljdkjh isa'ku ;kstuk esa va'knku </t>
    </r>
    <r>
      <rPr>
        <sz val="11"/>
        <rFont val="Calibri"/>
        <family val="2"/>
      </rPr>
      <t>ECPF</t>
    </r>
    <r>
      <rPr>
        <sz val="11"/>
        <rFont val="DevLys 010"/>
      </rPr>
      <t xml:space="preserve">
vf/kdre osru dk 10</t>
    </r>
    <r>
      <rPr>
        <sz val="11"/>
        <rFont val="Arial"/>
        <family val="2"/>
      </rPr>
      <t>%</t>
    </r>
    <r>
      <rPr>
        <sz val="11"/>
        <rFont val="DevLys 010"/>
      </rPr>
      <t>¼/kkjk 80</t>
    </r>
    <r>
      <rPr>
        <sz val="11"/>
        <rFont val="Arial"/>
        <family val="2"/>
      </rPr>
      <t>ccd</t>
    </r>
    <r>
      <rPr>
        <sz val="11"/>
        <rFont val="DevLys 010"/>
      </rPr>
      <t>½</t>
    </r>
  </si>
  <si>
    <r>
      <t xml:space="preserve">;fn vki 01-01-2004 dks ;k mlds i'pkr fu;qDr dkfeZd gSa rks </t>
    </r>
    <r>
      <rPr>
        <b/>
        <sz val="14"/>
        <rFont val="Calibri"/>
        <family val="2"/>
        <scheme val="minor"/>
      </rPr>
      <t xml:space="preserve">Drop Down Menu </t>
    </r>
    <r>
      <rPr>
        <b/>
        <sz val="14"/>
        <rFont val="DevLys 010"/>
      </rPr>
      <t xml:space="preserve">esa ls </t>
    </r>
    <r>
      <rPr>
        <b/>
        <sz val="14"/>
        <rFont val="Calibri"/>
        <family val="2"/>
        <scheme val="minor"/>
      </rPr>
      <t xml:space="preserve">"Yes" </t>
    </r>
    <r>
      <rPr>
        <b/>
        <sz val="14"/>
        <rFont val="DevLys 010"/>
      </rPr>
      <t xml:space="preserve">pqusa] vU;Fkk </t>
    </r>
    <r>
      <rPr>
        <b/>
        <sz val="14"/>
        <rFont val="Calibri"/>
        <family val="2"/>
        <scheme val="minor"/>
      </rPr>
      <t>"No"</t>
    </r>
    <r>
      <rPr>
        <b/>
        <sz val="14"/>
        <rFont val="DevLys 010"/>
      </rPr>
      <t xml:space="preserve"> pqusaA </t>
    </r>
  </si>
  <si>
    <t>;fn gk¡ rks ftl ekg esa fcy cuk mldk Øekad pqusaA</t>
  </si>
  <si>
    <t>D;k vkius lefiZr osru fy;k gS \</t>
  </si>
  <si>
    <t>Lecturer</t>
  </si>
  <si>
    <r>
      <rPr>
        <sz val="10"/>
        <rFont val="Arial"/>
        <family val="2"/>
      </rPr>
      <t>(C)</t>
    </r>
    <r>
      <rPr>
        <sz val="12"/>
        <rFont val="Arial"/>
        <family val="2"/>
      </rPr>
      <t xml:space="preserve"> </t>
    </r>
    <r>
      <rPr>
        <sz val="12"/>
        <rFont val="DevLys 010"/>
      </rPr>
      <t xml:space="preserve">?kVkb;s &amp; /kkjk </t>
    </r>
    <r>
      <rPr>
        <sz val="10"/>
        <rFont val="Arial"/>
        <family val="2"/>
      </rPr>
      <t>80CCD (1B)</t>
    </r>
    <r>
      <rPr>
        <sz val="12"/>
        <rFont val="Arial"/>
        <family val="2"/>
      </rPr>
      <t xml:space="preserve"> </t>
    </r>
    <r>
      <rPr>
        <sz val="12"/>
        <rFont val="DevLys 010"/>
      </rPr>
      <t>uohu isa'ku ;kstuk esa vfrfjDr va'knku ¼vf/kdre :- 50]000</t>
    </r>
    <r>
      <rPr>
        <sz val="12"/>
        <rFont val="Arial"/>
        <family val="2"/>
      </rPr>
      <t>)</t>
    </r>
  </si>
  <si>
    <t>No</t>
  </si>
  <si>
    <r>
      <t>lkewfgd chek izhfe;e ¼</t>
    </r>
    <r>
      <rPr>
        <sz val="12"/>
        <rFont val="Calibri"/>
        <family val="2"/>
        <scheme val="minor"/>
      </rPr>
      <t>G.Ins.)</t>
    </r>
  </si>
  <si>
    <t>Used Hindi font in this Worksheet is  mfdev010.ttf</t>
  </si>
  <si>
    <t>80 o"kZ ;k vf/kd vk;q</t>
  </si>
</sst>
</file>

<file path=xl/styles.xml><?xml version="1.0" encoding="utf-8"?>
<styleSheet xmlns="http://schemas.openxmlformats.org/spreadsheetml/2006/main">
  <fonts count="72">
    <font>
      <sz val="10"/>
      <name val="Arial"/>
    </font>
    <font>
      <sz val="10"/>
      <name val="Times New Roman"/>
      <family val="1"/>
    </font>
    <font>
      <sz val="12"/>
      <name val="DevLys 010"/>
    </font>
    <font>
      <b/>
      <sz val="12"/>
      <name val="DevLys 010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DevLys 010 "/>
    </font>
    <font>
      <sz val="11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Times New Roman"/>
      <family val="1"/>
    </font>
    <font>
      <b/>
      <sz val="10"/>
      <name val="DevLys 010"/>
    </font>
    <font>
      <sz val="10"/>
      <name val="DevLys 010"/>
    </font>
    <font>
      <sz val="12"/>
      <name val="Times New Roman"/>
      <family val="1"/>
    </font>
    <font>
      <sz val="8"/>
      <name val="DevLys 010"/>
    </font>
    <font>
      <sz val="8"/>
      <name val="DevLys 010 "/>
    </font>
    <font>
      <b/>
      <sz val="9"/>
      <name val="Arial"/>
      <family val="2"/>
    </font>
    <font>
      <b/>
      <i/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i/>
      <sz val="12"/>
      <name val="Calibri"/>
      <family val="2"/>
      <scheme val="minor"/>
    </font>
    <font>
      <sz val="8.5"/>
      <name val="DevLys 010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8"/>
      <name val="Arial"/>
      <family val="2"/>
    </font>
    <font>
      <sz val="16"/>
      <color theme="0"/>
      <name val="DevLys 010"/>
    </font>
    <font>
      <sz val="13"/>
      <color theme="0"/>
      <name val="Calibri"/>
      <family val="2"/>
      <scheme val="minor"/>
    </font>
    <font>
      <sz val="11"/>
      <name val="DevLys 010"/>
    </font>
    <font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sz val="11"/>
      <name val="Calibri"/>
      <family val="2"/>
      <scheme val="minor"/>
    </font>
    <font>
      <sz val="16"/>
      <name val="DevLys 010"/>
    </font>
    <font>
      <b/>
      <sz val="20"/>
      <name val="Times New Roman"/>
      <family val="1"/>
    </font>
    <font>
      <b/>
      <sz val="16"/>
      <name val="Times New Roman"/>
      <family val="1"/>
    </font>
    <font>
      <sz val="15"/>
      <name val="DevLys 010"/>
    </font>
    <font>
      <sz val="13"/>
      <name val="Calibri"/>
      <family val="2"/>
      <scheme val="minor"/>
    </font>
    <font>
      <b/>
      <sz val="13"/>
      <name val="DevLys 010"/>
    </font>
    <font>
      <b/>
      <i/>
      <u/>
      <sz val="14"/>
      <name val="Calibri"/>
      <family val="2"/>
      <scheme val="minor"/>
    </font>
    <font>
      <b/>
      <sz val="14"/>
      <name val="DevLys 010"/>
    </font>
    <font>
      <b/>
      <sz val="13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9"/>
      <name val="Times New Roman"/>
      <family val="1"/>
    </font>
    <font>
      <b/>
      <sz val="11"/>
      <name val="DevLys 010"/>
    </font>
    <font>
      <i/>
      <sz val="16"/>
      <color theme="0"/>
      <name val="Times New Roman"/>
      <family val="1"/>
    </font>
    <font>
      <i/>
      <sz val="18"/>
      <color rgb="FFFFFF00"/>
      <name val="Times New Roman"/>
      <family val="1"/>
    </font>
    <font>
      <b/>
      <sz val="12"/>
      <color theme="5" tint="-0.249977111117893"/>
      <name val="DevLys 010"/>
    </font>
    <font>
      <sz val="12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color rgb="FF0000FF"/>
      <name val="DevLys 010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2E21D5"/>
        <bgColor indexed="64"/>
      </patternFill>
    </fill>
    <fill>
      <patternFill patternType="solid">
        <fgColor rgb="FFF33603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000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4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6" fillId="0" borderId="0"/>
    <xf numFmtId="0" fontId="6" fillId="0" borderId="0"/>
    <xf numFmtId="0" fontId="12" fillId="23" borderId="7" applyNumberFormat="0" applyFont="0" applyAlignment="0" applyProtection="0"/>
    <xf numFmtId="0" fontId="25" fillId="20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226">
    <xf numFmtId="0" fontId="0" fillId="0" borderId="0" xfId="0"/>
    <xf numFmtId="2" fontId="2" fillId="0" borderId="0" xfId="0" applyNumberFormat="1" applyFont="1" applyBorder="1" applyAlignment="1"/>
    <xf numFmtId="2" fontId="11" fillId="24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vertical="top"/>
    </xf>
    <xf numFmtId="0" fontId="5" fillId="0" borderId="0" xfId="0" applyNumberFormat="1" applyFont="1" applyBorder="1" applyAlignment="1">
      <alignment vertical="top" textRotation="90"/>
    </xf>
    <xf numFmtId="0" fontId="4" fillId="0" borderId="0" xfId="0" applyFont="1"/>
    <xf numFmtId="0" fontId="6" fillId="0" borderId="0" xfId="0" applyNumberFormat="1" applyFont="1" applyFill="1" applyBorder="1" applyAlignment="1">
      <alignment vertical="top"/>
    </xf>
    <xf numFmtId="0" fontId="5" fillId="0" borderId="0" xfId="0" applyNumberFormat="1" applyFont="1" applyFill="1" applyBorder="1" applyAlignment="1">
      <alignment vertical="top" textRotation="90"/>
    </xf>
    <xf numFmtId="0" fontId="32" fillId="0" borderId="10" xfId="37" applyFont="1" applyBorder="1" applyAlignment="1">
      <alignment horizontal="center" vertical="center"/>
    </xf>
    <xf numFmtId="0" fontId="30" fillId="0" borderId="10" xfId="37" applyFont="1" applyBorder="1" applyAlignment="1">
      <alignment horizontal="right" vertical="center"/>
    </xf>
    <xf numFmtId="0" fontId="2" fillId="0" borderId="0" xfId="37" applyFont="1" applyBorder="1"/>
    <xf numFmtId="0" fontId="31" fillId="0" borderId="0" xfId="37" applyFont="1" applyBorder="1"/>
    <xf numFmtId="0" fontId="30" fillId="0" borderId="0" xfId="37" applyFont="1" applyBorder="1" applyAlignment="1">
      <alignment horizontal="right"/>
    </xf>
    <xf numFmtId="0" fontId="31" fillId="0" borderId="0" xfId="37" applyFont="1" applyBorder="1" applyAlignment="1">
      <alignment horizontal="right"/>
    </xf>
    <xf numFmtId="0" fontId="31" fillId="0" borderId="0" xfId="37" applyFont="1"/>
    <xf numFmtId="0" fontId="2" fillId="0" borderId="0" xfId="37" applyFont="1"/>
    <xf numFmtId="0" fontId="30" fillId="0" borderId="0" xfId="37" applyFont="1" applyAlignment="1">
      <alignment horizontal="right"/>
    </xf>
    <xf numFmtId="0" fontId="31" fillId="0" borderId="0" xfId="37" applyFont="1" applyAlignment="1">
      <alignment horizontal="right"/>
    </xf>
    <xf numFmtId="2" fontId="42" fillId="0" borderId="10" xfId="37" applyNumberFormat="1" applyFont="1" applyBorder="1" applyAlignment="1">
      <alignment horizontal="center" vertical="center"/>
    </xf>
    <xf numFmtId="2" fontId="42" fillId="28" borderId="10" xfId="37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2" fontId="43" fillId="0" borderId="10" xfId="37" applyNumberFormat="1" applyFont="1" applyBorder="1" applyAlignment="1">
      <alignment horizontal="center" vertical="center"/>
    </xf>
    <xf numFmtId="0" fontId="51" fillId="0" borderId="0" xfId="0" applyNumberFormat="1" applyFont="1" applyFill="1" applyBorder="1" applyAlignment="1">
      <alignment horizontal="center" textRotation="90" wrapText="1"/>
    </xf>
    <xf numFmtId="0" fontId="39" fillId="0" borderId="0" xfId="0" applyNumberFormat="1" applyFont="1" applyFill="1" applyBorder="1" applyAlignment="1">
      <alignment vertical="center"/>
    </xf>
    <xf numFmtId="0" fontId="51" fillId="0" borderId="10" xfId="0" applyNumberFormat="1" applyFont="1" applyBorder="1" applyAlignment="1">
      <alignment horizontal="center" vertical="center" textRotation="90"/>
    </xf>
    <xf numFmtId="17" fontId="39" fillId="0" borderId="10" xfId="0" applyNumberFormat="1" applyFont="1" applyBorder="1" applyAlignment="1" applyProtection="1">
      <alignment horizontal="center" vertical="center"/>
      <protection locked="0"/>
    </xf>
    <xf numFmtId="0" fontId="51" fillId="0" borderId="0" xfId="0" applyNumberFormat="1" applyFont="1" applyFill="1" applyBorder="1" applyAlignment="1">
      <alignment horizontal="center" vertical="center" textRotation="90"/>
    </xf>
    <xf numFmtId="0" fontId="38" fillId="0" borderId="10" xfId="37" applyFont="1" applyBorder="1" applyAlignment="1">
      <alignment horizontal="center" vertical="center"/>
    </xf>
    <xf numFmtId="0" fontId="38" fillId="0" borderId="10" xfId="37" applyFont="1" applyBorder="1" applyAlignment="1">
      <alignment horizontal="center" vertical="center" wrapText="1"/>
    </xf>
    <xf numFmtId="0" fontId="2" fillId="0" borderId="10" xfId="37" applyFont="1" applyBorder="1" applyAlignment="1">
      <alignment horizontal="center" vertical="center" wrapText="1"/>
    </xf>
    <xf numFmtId="9" fontId="39" fillId="0" borderId="10" xfId="37" applyNumberFormat="1" applyFont="1" applyBorder="1" applyAlignment="1">
      <alignment horizontal="center" vertical="center"/>
    </xf>
    <xf numFmtId="0" fontId="39" fillId="0" borderId="10" xfId="37" applyFont="1" applyBorder="1" applyAlignment="1">
      <alignment horizontal="center" vertical="center"/>
    </xf>
    <xf numFmtId="0" fontId="2" fillId="0" borderId="10" xfId="37" applyFont="1" applyBorder="1" applyAlignment="1">
      <alignment horizontal="right" vertical="center"/>
    </xf>
    <xf numFmtId="0" fontId="32" fillId="0" borderId="0" xfId="0" applyNumberFormat="1" applyFont="1" applyBorder="1" applyAlignment="1">
      <alignment horizontal="center" vertical="top"/>
    </xf>
    <xf numFmtId="0" fontId="32" fillId="0" borderId="0" xfId="0" applyNumberFormat="1" applyFont="1" applyFill="1" applyBorder="1" applyAlignment="1">
      <alignment vertical="top"/>
    </xf>
    <xf numFmtId="17" fontId="53" fillId="0" borderId="10" xfId="0" applyNumberFormat="1" applyFont="1" applyBorder="1" applyAlignment="1">
      <alignment horizontal="center" vertical="center"/>
    </xf>
    <xf numFmtId="0" fontId="6" fillId="32" borderId="0" xfId="0" applyNumberFormat="1" applyFont="1" applyFill="1" applyBorder="1" applyAlignment="1">
      <alignment vertical="top"/>
    </xf>
    <xf numFmtId="0" fontId="32" fillId="32" borderId="0" xfId="0" applyNumberFormat="1" applyFont="1" applyFill="1" applyBorder="1" applyAlignment="1">
      <alignment vertical="top"/>
    </xf>
    <xf numFmtId="0" fontId="51" fillId="32" borderId="0" xfId="0" applyNumberFormat="1" applyFont="1" applyFill="1" applyBorder="1" applyAlignment="1">
      <alignment horizontal="center" textRotation="90" wrapText="1"/>
    </xf>
    <xf numFmtId="0" fontId="39" fillId="32" borderId="0" xfId="0" applyNumberFormat="1" applyFont="1" applyFill="1" applyBorder="1" applyAlignment="1">
      <alignment vertical="center"/>
    </xf>
    <xf numFmtId="0" fontId="51" fillId="32" borderId="0" xfId="0" applyNumberFormat="1" applyFont="1" applyFill="1" applyBorder="1" applyAlignment="1">
      <alignment horizontal="center" vertical="center" textRotation="90"/>
    </xf>
    <xf numFmtId="0" fontId="5" fillId="32" borderId="0" xfId="0" applyNumberFormat="1" applyFont="1" applyFill="1" applyBorder="1" applyAlignment="1">
      <alignment vertical="top" textRotation="90"/>
    </xf>
    <xf numFmtId="0" fontId="29" fillId="0" borderId="0" xfId="0" applyNumberFormat="1" applyFont="1" applyFill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0" fontId="58" fillId="0" borderId="10" xfId="0" applyNumberFormat="1" applyFont="1" applyFill="1" applyBorder="1" applyAlignment="1">
      <alignment horizontal="center" vertical="center" wrapText="1"/>
    </xf>
    <xf numFmtId="0" fontId="58" fillId="0" borderId="10" xfId="0" applyNumberFormat="1" applyFont="1" applyFill="1" applyBorder="1" applyAlignment="1">
      <alignment horizontal="center" textRotation="90" wrapText="1"/>
    </xf>
    <xf numFmtId="0" fontId="58" fillId="0" borderId="10" xfId="0" applyNumberFormat="1" applyFont="1" applyFill="1" applyBorder="1" applyAlignment="1" applyProtection="1">
      <alignment horizontal="center" textRotation="90" wrapText="1"/>
      <protection locked="0"/>
    </xf>
    <xf numFmtId="0" fontId="2" fillId="0" borderId="22" xfId="37" applyFont="1" applyBorder="1" applyAlignment="1">
      <alignment horizontal="center" vertical="center"/>
    </xf>
    <xf numFmtId="2" fontId="37" fillId="0" borderId="21" xfId="37" applyNumberFormat="1" applyFont="1" applyBorder="1" applyAlignment="1">
      <alignment horizontal="right" vertical="center"/>
    </xf>
    <xf numFmtId="2" fontId="38" fillId="0" borderId="21" xfId="37" applyNumberFormat="1" applyFont="1" applyBorder="1" applyAlignment="1">
      <alignment horizontal="right" vertical="center"/>
    </xf>
    <xf numFmtId="2" fontId="40" fillId="0" borderId="21" xfId="37" applyNumberFormat="1" applyFont="1" applyBorder="1" applyAlignment="1">
      <alignment horizontal="right" vertical="center"/>
    </xf>
    <xf numFmtId="0" fontId="3" fillId="0" borderId="21" xfId="37" applyFont="1" applyBorder="1" applyAlignment="1">
      <alignment vertical="center"/>
    </xf>
    <xf numFmtId="2" fontId="38" fillId="0" borderId="21" xfId="37" applyNumberFormat="1" applyFont="1" applyBorder="1" applyAlignment="1">
      <alignment vertical="center"/>
    </xf>
    <xf numFmtId="0" fontId="2" fillId="0" borderId="28" xfId="37" applyFont="1" applyBorder="1" applyAlignment="1">
      <alignment horizontal="right" vertical="center"/>
    </xf>
    <xf numFmtId="2" fontId="38" fillId="0" borderId="29" xfId="37" applyNumberFormat="1" applyFont="1" applyBorder="1" applyAlignment="1">
      <alignment horizontal="right" vertical="center"/>
    </xf>
    <xf numFmtId="0" fontId="2" fillId="0" borderId="30" xfId="37" applyFont="1" applyBorder="1" applyAlignment="1">
      <alignment horizontal="center" vertical="center"/>
    </xf>
    <xf numFmtId="0" fontId="2" fillId="0" borderId="32" xfId="37" applyFont="1" applyBorder="1" applyAlignment="1">
      <alignment horizontal="center" vertical="center"/>
    </xf>
    <xf numFmtId="0" fontId="39" fillId="0" borderId="32" xfId="37" applyFont="1" applyBorder="1" applyAlignment="1">
      <alignment horizontal="right" vertical="center"/>
    </xf>
    <xf numFmtId="0" fontId="2" fillId="0" borderId="10" xfId="37" applyFont="1" applyBorder="1" applyAlignment="1">
      <alignment horizontal="right" vertical="center"/>
    </xf>
    <xf numFmtId="0" fontId="35" fillId="0" borderId="0" xfId="37" applyFont="1" applyBorder="1" applyAlignment="1">
      <alignment horizontal="right" vertical="center"/>
    </xf>
    <xf numFmtId="0" fontId="2" fillId="0" borderId="0" xfId="37" applyFont="1" applyBorder="1" applyAlignment="1">
      <alignment horizontal="right" vertical="center"/>
    </xf>
    <xf numFmtId="2" fontId="38" fillId="0" borderId="0" xfId="37" applyNumberFormat="1" applyFont="1" applyBorder="1" applyAlignment="1">
      <alignment horizontal="right" vertical="center"/>
    </xf>
    <xf numFmtId="0" fontId="59" fillId="0" borderId="0" xfId="37" applyFont="1" applyBorder="1" applyAlignment="1">
      <alignment horizontal="center" vertical="center"/>
    </xf>
    <xf numFmtId="0" fontId="58" fillId="0" borderId="10" xfId="0" applyNumberFormat="1" applyFont="1" applyFill="1" applyBorder="1" applyAlignment="1" applyProtection="1">
      <alignment horizontal="center" textRotation="90" wrapText="1"/>
    </xf>
    <xf numFmtId="0" fontId="2" fillId="0" borderId="10" xfId="37" applyFont="1" applyBorder="1" applyAlignment="1">
      <alignment horizontal="center" vertical="center" wrapText="1"/>
    </xf>
    <xf numFmtId="0" fontId="39" fillId="0" borderId="10" xfId="0" applyNumberFormat="1" applyFont="1" applyBorder="1" applyAlignment="1" applyProtection="1">
      <alignment horizontal="center" vertical="center"/>
      <protection locked="0" hidden="1"/>
    </xf>
    <xf numFmtId="0" fontId="51" fillId="0" borderId="10" xfId="0" applyNumberFormat="1" applyFont="1" applyBorder="1" applyAlignment="1" applyProtection="1">
      <alignment horizontal="center" vertical="center"/>
      <protection hidden="1"/>
    </xf>
    <xf numFmtId="2" fontId="39" fillId="0" borderId="10" xfId="0" applyNumberFormat="1" applyFont="1" applyBorder="1" applyAlignment="1" applyProtection="1">
      <alignment horizontal="center" vertical="center"/>
      <protection hidden="1"/>
    </xf>
    <xf numFmtId="2" fontId="51" fillId="0" borderId="10" xfId="0" applyNumberFormat="1" applyFont="1" applyBorder="1" applyAlignment="1" applyProtection="1">
      <alignment horizontal="center" vertical="center"/>
      <protection hidden="1"/>
    </xf>
    <xf numFmtId="2" fontId="39" fillId="0" borderId="10" xfId="0" applyNumberFormat="1" applyFont="1" applyBorder="1" applyAlignment="1" applyProtection="1">
      <alignment horizontal="center" vertical="center"/>
      <protection locked="0" hidden="1"/>
    </xf>
    <xf numFmtId="0" fontId="51" fillId="0" borderId="10" xfId="0" applyNumberFormat="1" applyFont="1" applyBorder="1" applyAlignment="1" applyProtection="1">
      <alignment horizontal="center" vertical="center" textRotation="90"/>
      <protection hidden="1"/>
    </xf>
    <xf numFmtId="0" fontId="62" fillId="0" borderId="10" xfId="0" applyNumberFormat="1" applyFont="1" applyFill="1" applyBorder="1" applyAlignment="1">
      <alignment horizontal="center" textRotation="90" wrapText="1"/>
    </xf>
    <xf numFmtId="0" fontId="2" fillId="0" borderId="10" xfId="37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right" vertical="top"/>
    </xf>
    <xf numFmtId="0" fontId="2" fillId="0" borderId="10" xfId="37" applyFont="1" applyBorder="1" applyAlignment="1">
      <alignment horizontal="right" vertical="center"/>
    </xf>
    <xf numFmtId="0" fontId="6" fillId="29" borderId="0" xfId="0" applyNumberFormat="1" applyFont="1" applyFill="1" applyBorder="1" applyAlignment="1">
      <alignment horizontal="left" vertical="top"/>
    </xf>
    <xf numFmtId="0" fontId="57" fillId="29" borderId="0" xfId="0" applyNumberFormat="1" applyFont="1" applyFill="1" applyBorder="1" applyAlignment="1">
      <alignment horizontal="left" vertical="top"/>
    </xf>
    <xf numFmtId="0" fontId="56" fillId="29" borderId="0" xfId="0" applyNumberFormat="1" applyFont="1" applyFill="1" applyBorder="1" applyAlignment="1" applyProtection="1">
      <alignment horizontal="center" vertical="center"/>
      <protection locked="0"/>
    </xf>
    <xf numFmtId="0" fontId="57" fillId="29" borderId="0" xfId="0" applyNumberFormat="1" applyFont="1" applyFill="1" applyBorder="1" applyAlignment="1">
      <alignment horizontal="left" vertical="top" indent="1"/>
    </xf>
    <xf numFmtId="0" fontId="64" fillId="29" borderId="0" xfId="0" applyNumberFormat="1" applyFont="1" applyFill="1" applyBorder="1" applyAlignment="1">
      <alignment horizontal="center"/>
    </xf>
    <xf numFmtId="0" fontId="54" fillId="29" borderId="0" xfId="0" applyNumberFormat="1" applyFont="1" applyFill="1" applyBorder="1" applyAlignment="1">
      <alignment horizontal="left" vertical="top"/>
    </xf>
    <xf numFmtId="0" fontId="29" fillId="29" borderId="0" xfId="0" applyNumberFormat="1" applyFont="1" applyFill="1" applyBorder="1" applyAlignment="1" applyProtection="1">
      <alignment horizontal="center" vertical="center"/>
      <protection locked="0"/>
    </xf>
    <xf numFmtId="0" fontId="6" fillId="29" borderId="0" xfId="0" applyNumberFormat="1" applyFont="1" applyFill="1" applyBorder="1" applyAlignment="1">
      <alignment vertical="top"/>
    </xf>
    <xf numFmtId="0" fontId="6" fillId="34" borderId="0" xfId="0" applyNumberFormat="1" applyFont="1" applyFill="1" applyBorder="1" applyAlignment="1">
      <alignment vertical="top"/>
    </xf>
    <xf numFmtId="0" fontId="6" fillId="34" borderId="0" xfId="0" applyNumberFormat="1" applyFont="1" applyFill="1" applyBorder="1" applyAlignment="1">
      <alignment horizontal="left" vertical="top"/>
    </xf>
    <xf numFmtId="0" fontId="54" fillId="34" borderId="0" xfId="0" applyNumberFormat="1" applyFont="1" applyFill="1" applyBorder="1" applyAlignment="1">
      <alignment horizontal="left" vertical="top"/>
    </xf>
    <xf numFmtId="0" fontId="57" fillId="34" borderId="0" xfId="0" applyNumberFormat="1" applyFont="1" applyFill="1" applyBorder="1" applyAlignment="1">
      <alignment horizontal="left" vertical="top"/>
    </xf>
    <xf numFmtId="1" fontId="4" fillId="27" borderId="0" xfId="0" applyNumberFormat="1" applyFont="1" applyFill="1" applyBorder="1" applyAlignment="1">
      <alignment horizontal="center" vertical="center"/>
    </xf>
    <xf numFmtId="1" fontId="4" fillId="26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vertical="center"/>
    </xf>
    <xf numFmtId="1" fontId="4" fillId="35" borderId="0" xfId="0" applyNumberFormat="1" applyFont="1" applyFill="1" applyBorder="1" applyAlignment="1">
      <alignment horizontal="center" vertical="center"/>
    </xf>
    <xf numFmtId="2" fontId="4" fillId="36" borderId="0" xfId="0" applyNumberFormat="1" applyFont="1" applyFill="1" applyBorder="1" applyAlignment="1">
      <alignment horizontal="center" vertical="center"/>
    </xf>
    <xf numFmtId="2" fontId="37" fillId="37" borderId="0" xfId="0" applyNumberFormat="1" applyFont="1" applyFill="1" applyBorder="1" applyAlignment="1" applyProtection="1">
      <alignment horizontal="center"/>
      <protection locked="0"/>
    </xf>
    <xf numFmtId="2" fontId="37" fillId="38" borderId="0" xfId="0" applyNumberFormat="1" applyFont="1" applyFill="1" applyBorder="1" applyAlignment="1" applyProtection="1">
      <alignment horizontal="center"/>
      <protection locked="0"/>
    </xf>
    <xf numFmtId="2" fontId="37" fillId="38" borderId="0" xfId="0" applyNumberFormat="1" applyFont="1" applyFill="1" applyBorder="1" applyAlignment="1" applyProtection="1">
      <alignment horizontal="center" vertical="center"/>
      <protection locked="0"/>
    </xf>
    <xf numFmtId="2" fontId="2" fillId="37" borderId="0" xfId="0" applyNumberFormat="1" applyFont="1" applyFill="1" applyBorder="1" applyAlignment="1">
      <alignment horizontal="left" vertical="center" indent="1"/>
    </xf>
    <xf numFmtId="2" fontId="2" fillId="38" borderId="0" xfId="0" applyNumberFormat="1" applyFont="1" applyFill="1" applyBorder="1" applyAlignment="1">
      <alignment horizontal="left" vertical="center" indent="1"/>
    </xf>
    <xf numFmtId="2" fontId="2" fillId="37" borderId="0" xfId="0" applyNumberFormat="1" applyFont="1" applyFill="1" applyBorder="1" applyAlignment="1">
      <alignment horizontal="left" indent="1"/>
    </xf>
    <xf numFmtId="2" fontId="2" fillId="38" borderId="0" xfId="0" applyNumberFormat="1" applyFont="1" applyFill="1" applyBorder="1" applyAlignment="1">
      <alignment horizontal="left" vertical="center" wrapText="1" indent="1"/>
    </xf>
    <xf numFmtId="2" fontId="2" fillId="38" borderId="0" xfId="0" applyNumberFormat="1" applyFont="1" applyFill="1" applyBorder="1" applyAlignment="1">
      <alignment horizontal="left" indent="1"/>
    </xf>
    <xf numFmtId="2" fontId="11" fillId="24" borderId="0" xfId="0" applyNumberFormat="1" applyFont="1" applyFill="1" applyBorder="1" applyAlignment="1">
      <alignment horizontal="left" indent="2"/>
    </xf>
    <xf numFmtId="2" fontId="37" fillId="39" borderId="0" xfId="0" applyNumberFormat="1" applyFont="1" applyFill="1" applyBorder="1" applyAlignment="1" applyProtection="1">
      <alignment horizontal="left"/>
    </xf>
    <xf numFmtId="0" fontId="32" fillId="29" borderId="0" xfId="0" applyNumberFormat="1" applyFont="1" applyFill="1" applyBorder="1" applyAlignment="1">
      <alignment vertical="top"/>
    </xf>
    <xf numFmtId="0" fontId="51" fillId="29" borderId="0" xfId="0" applyNumberFormat="1" applyFont="1" applyFill="1" applyBorder="1" applyAlignment="1">
      <alignment horizontal="center" textRotation="90" wrapText="1"/>
    </xf>
    <xf numFmtId="0" fontId="39" fillId="29" borderId="0" xfId="0" applyNumberFormat="1" applyFont="1" applyFill="1" applyBorder="1" applyAlignment="1">
      <alignment vertical="center"/>
    </xf>
    <xf numFmtId="0" fontId="51" fillId="29" borderId="0" xfId="0" applyNumberFormat="1" applyFont="1" applyFill="1" applyBorder="1" applyAlignment="1">
      <alignment horizontal="center" vertical="center" textRotation="90"/>
    </xf>
    <xf numFmtId="0" fontId="5" fillId="29" borderId="0" xfId="0" applyNumberFormat="1" applyFont="1" applyFill="1" applyBorder="1" applyAlignment="1">
      <alignment vertical="top" textRotation="90"/>
    </xf>
    <xf numFmtId="2" fontId="2" fillId="25" borderId="0" xfId="0" applyNumberFormat="1" applyFont="1" applyFill="1" applyBorder="1" applyAlignment="1">
      <alignment horizontal="left" indent="1"/>
    </xf>
    <xf numFmtId="2" fontId="69" fillId="40" borderId="0" xfId="0" applyNumberFormat="1" applyFont="1" applyFill="1" applyBorder="1" applyAlignment="1">
      <alignment horizontal="center" vertical="center"/>
    </xf>
    <xf numFmtId="0" fontId="0" fillId="29" borderId="0" xfId="0" applyFill="1"/>
    <xf numFmtId="0" fontId="2" fillId="29" borderId="0" xfId="37" applyFont="1" applyFill="1" applyBorder="1"/>
    <xf numFmtId="0" fontId="2" fillId="29" borderId="0" xfId="37" applyFont="1" applyFill="1"/>
    <xf numFmtId="0" fontId="31" fillId="29" borderId="0" xfId="37" applyFont="1" applyFill="1" applyBorder="1"/>
    <xf numFmtId="0" fontId="31" fillId="29" borderId="0" xfId="37" applyFont="1" applyFill="1"/>
    <xf numFmtId="0" fontId="30" fillId="29" borderId="0" xfId="37" applyFont="1" applyFill="1" applyAlignment="1">
      <alignment horizontal="right"/>
    </xf>
    <xf numFmtId="0" fontId="31" fillId="29" borderId="0" xfId="37" applyFont="1" applyFill="1" applyAlignment="1">
      <alignment horizontal="right"/>
    </xf>
    <xf numFmtId="9" fontId="39" fillId="0" borderId="10" xfId="37" applyNumberFormat="1" applyFont="1" applyBorder="1" applyAlignment="1">
      <alignment horizontal="center" vertical="center"/>
    </xf>
    <xf numFmtId="0" fontId="39" fillId="0" borderId="10" xfId="37" applyFont="1" applyBorder="1" applyAlignment="1">
      <alignment horizontal="center" vertical="center"/>
    </xf>
    <xf numFmtId="0" fontId="56" fillId="33" borderId="10" xfId="0" applyNumberFormat="1" applyFont="1" applyFill="1" applyBorder="1" applyAlignment="1" applyProtection="1">
      <alignment horizontal="center" vertical="center"/>
      <protection locked="0"/>
    </xf>
    <xf numFmtId="0" fontId="71" fillId="34" borderId="36" xfId="0" applyNumberFormat="1" applyFont="1" applyFill="1" applyBorder="1" applyAlignment="1">
      <alignment horizontal="left" vertical="center" indent="1"/>
    </xf>
    <xf numFmtId="0" fontId="71" fillId="34" borderId="0" xfId="0" applyNumberFormat="1" applyFont="1" applyFill="1" applyBorder="1" applyAlignment="1">
      <alignment horizontal="left" vertical="center" indent="1"/>
    </xf>
    <xf numFmtId="0" fontId="11" fillId="0" borderId="11" xfId="0" applyNumberFormat="1" applyFont="1" applyBorder="1" applyAlignment="1" applyProtection="1">
      <alignment horizontal="left" vertical="top"/>
      <protection locked="0"/>
    </xf>
    <xf numFmtId="0" fontId="61" fillId="34" borderId="0" xfId="0" applyNumberFormat="1" applyFont="1" applyFill="1" applyBorder="1" applyAlignment="1">
      <alignment horizontal="left" vertical="top"/>
    </xf>
    <xf numFmtId="0" fontId="55" fillId="0" borderId="0" xfId="0" applyNumberFormat="1" applyFont="1" applyBorder="1" applyAlignment="1" applyProtection="1">
      <alignment horizontal="center" vertical="top"/>
      <protection locked="0"/>
    </xf>
    <xf numFmtId="0" fontId="56" fillId="0" borderId="0" xfId="0" applyNumberFormat="1" applyFont="1" applyFill="1" applyBorder="1" applyAlignment="1">
      <alignment horizontal="center" vertical="top"/>
    </xf>
    <xf numFmtId="0" fontId="11" fillId="0" borderId="11" xfId="0" applyNumberFormat="1" applyFont="1" applyBorder="1" applyAlignment="1">
      <alignment horizontal="right" vertical="top"/>
    </xf>
    <xf numFmtId="0" fontId="11" fillId="0" borderId="11" xfId="0" applyNumberFormat="1" applyFont="1" applyBorder="1" applyAlignment="1" applyProtection="1">
      <alignment horizontal="left" vertical="center"/>
      <protection locked="0"/>
    </xf>
    <xf numFmtId="49" fontId="11" fillId="0" borderId="11" xfId="0" applyNumberFormat="1" applyFont="1" applyBorder="1" applyAlignment="1" applyProtection="1">
      <alignment horizontal="left" vertical="center"/>
      <protection locked="0"/>
    </xf>
    <xf numFmtId="0" fontId="71" fillId="34" borderId="35" xfId="0" applyNumberFormat="1" applyFont="1" applyFill="1" applyBorder="1" applyAlignment="1">
      <alignment horizontal="left" vertical="center" indent="1"/>
    </xf>
    <xf numFmtId="0" fontId="64" fillId="33" borderId="10" xfId="0" applyNumberFormat="1" applyFont="1" applyFill="1" applyBorder="1" applyAlignment="1" applyProtection="1">
      <alignment horizontal="center"/>
      <protection locked="0"/>
    </xf>
    <xf numFmtId="2" fontId="45" fillId="30" borderId="0" xfId="0" applyNumberFormat="1" applyFont="1" applyFill="1" applyBorder="1" applyAlignment="1">
      <alignment horizontal="center" vertical="center" wrapText="1"/>
    </xf>
    <xf numFmtId="2" fontId="45" fillId="30" borderId="0" xfId="0" applyNumberFormat="1" applyFont="1" applyFill="1" applyBorder="1" applyAlignment="1">
      <alignment horizontal="center" vertical="center"/>
    </xf>
    <xf numFmtId="2" fontId="67" fillId="31" borderId="0" xfId="0" applyNumberFormat="1" applyFont="1" applyFill="1" applyBorder="1" applyAlignment="1">
      <alignment horizontal="center" vertical="center"/>
    </xf>
    <xf numFmtId="2" fontId="66" fillId="30" borderId="0" xfId="0" applyNumberFormat="1" applyFont="1" applyFill="1" applyBorder="1" applyAlignment="1">
      <alignment horizontal="center" vertical="center"/>
    </xf>
    <xf numFmtId="1" fontId="4" fillId="35" borderId="0" xfId="0" applyNumberFormat="1" applyFont="1" applyFill="1" applyBorder="1" applyAlignment="1">
      <alignment horizontal="center" vertical="center" wrapText="1"/>
    </xf>
    <xf numFmtId="1" fontId="65" fillId="36" borderId="0" xfId="0" applyNumberFormat="1" applyFont="1" applyFill="1" applyBorder="1" applyAlignment="1">
      <alignment horizontal="center" vertical="center" wrapText="1"/>
    </xf>
    <xf numFmtId="2" fontId="11" fillId="24" borderId="0" xfId="0" applyNumberFormat="1" applyFont="1" applyFill="1" applyBorder="1" applyAlignment="1">
      <alignment horizontal="right" indent="1"/>
    </xf>
    <xf numFmtId="2" fontId="11" fillId="36" borderId="0" xfId="0" applyNumberFormat="1" applyFont="1" applyFill="1" applyBorder="1" applyAlignment="1">
      <alignment horizontal="center" vertical="center"/>
    </xf>
    <xf numFmtId="0" fontId="63" fillId="29" borderId="0" xfId="37" applyFont="1" applyFill="1" applyAlignment="1">
      <alignment horizontal="center"/>
    </xf>
    <xf numFmtId="2" fontId="38" fillId="0" borderId="10" xfId="37" applyNumberFormat="1" applyFont="1" applyBorder="1" applyAlignment="1">
      <alignment horizontal="center" vertical="center"/>
    </xf>
    <xf numFmtId="0" fontId="31" fillId="0" borderId="10" xfId="37" applyFont="1" applyBorder="1" applyAlignment="1">
      <alignment horizontal="center" vertical="center"/>
    </xf>
    <xf numFmtId="0" fontId="31" fillId="0" borderId="21" xfId="37" applyFont="1" applyBorder="1" applyAlignment="1">
      <alignment horizontal="center" vertical="center"/>
    </xf>
    <xf numFmtId="0" fontId="2" fillId="0" borderId="10" xfId="37" applyFont="1" applyBorder="1" applyAlignment="1">
      <alignment horizontal="center" vertical="top"/>
    </xf>
    <xf numFmtId="0" fontId="2" fillId="0" borderId="10" xfId="37" applyFont="1" applyBorder="1" applyAlignment="1">
      <alignment horizontal="center" vertical="center"/>
    </xf>
    <xf numFmtId="0" fontId="2" fillId="0" borderId="10" xfId="37" applyFont="1" applyBorder="1" applyAlignment="1">
      <alignment horizontal="left" vertical="center"/>
    </xf>
    <xf numFmtId="0" fontId="2" fillId="0" borderId="12" xfId="37" applyFont="1" applyBorder="1" applyAlignment="1">
      <alignment horizontal="left" vertical="center"/>
    </xf>
    <xf numFmtId="0" fontId="2" fillId="0" borderId="13" xfId="37" applyFont="1" applyBorder="1" applyAlignment="1">
      <alignment horizontal="left" vertical="center"/>
    </xf>
    <xf numFmtId="0" fontId="2" fillId="0" borderId="14" xfId="37" applyFont="1" applyBorder="1" applyAlignment="1">
      <alignment horizontal="left" vertical="center"/>
    </xf>
    <xf numFmtId="0" fontId="2" fillId="0" borderId="10" xfId="37" applyFont="1" applyFill="1" applyBorder="1" applyAlignment="1">
      <alignment horizontal="left" vertical="center"/>
    </xf>
    <xf numFmtId="9" fontId="39" fillId="0" borderId="10" xfId="37" applyNumberFormat="1" applyFont="1" applyBorder="1" applyAlignment="1">
      <alignment horizontal="center" vertical="center"/>
    </xf>
    <xf numFmtId="0" fontId="39" fillId="0" borderId="10" xfId="37" applyFont="1" applyBorder="1" applyAlignment="1">
      <alignment horizontal="center" vertical="center"/>
    </xf>
    <xf numFmtId="0" fontId="39" fillId="0" borderId="12" xfId="37" applyFont="1" applyBorder="1" applyAlignment="1">
      <alignment horizontal="center" vertical="center"/>
    </xf>
    <xf numFmtId="0" fontId="39" fillId="0" borderId="13" xfId="37" applyFont="1" applyBorder="1" applyAlignment="1">
      <alignment horizontal="center" vertical="center"/>
    </xf>
    <xf numFmtId="0" fontId="39" fillId="0" borderId="14" xfId="37" applyFont="1" applyBorder="1" applyAlignment="1">
      <alignment horizontal="center" vertical="center"/>
    </xf>
    <xf numFmtId="0" fontId="2" fillId="0" borderId="10" xfId="37" applyFont="1" applyBorder="1" applyAlignment="1">
      <alignment horizontal="right" vertical="center"/>
    </xf>
    <xf numFmtId="0" fontId="7" fillId="0" borderId="12" xfId="37" applyFont="1" applyBorder="1" applyAlignment="1">
      <alignment horizontal="left" vertical="center" wrapText="1"/>
    </xf>
    <xf numFmtId="0" fontId="7" fillId="0" borderId="13" xfId="37" applyFont="1" applyBorder="1" applyAlignment="1">
      <alignment horizontal="left" vertical="center" wrapText="1"/>
    </xf>
    <xf numFmtId="0" fontId="7" fillId="0" borderId="14" xfId="37" applyFont="1" applyBorder="1" applyAlignment="1">
      <alignment horizontal="left" vertical="center" wrapText="1"/>
    </xf>
    <xf numFmtId="0" fontId="60" fillId="0" borderId="0" xfId="37" applyFont="1" applyAlignment="1">
      <alignment horizontal="center" vertical="center"/>
    </xf>
    <xf numFmtId="0" fontId="61" fillId="0" borderId="0" xfId="37" applyFont="1" applyBorder="1" applyAlignment="1">
      <alignment horizontal="center" vertical="center"/>
    </xf>
    <xf numFmtId="0" fontId="2" fillId="0" borderId="31" xfId="37" applyFont="1" applyBorder="1" applyAlignment="1">
      <alignment horizontal="left" vertical="center"/>
    </xf>
    <xf numFmtId="0" fontId="2" fillId="0" borderId="32" xfId="37" applyFont="1" applyBorder="1" applyAlignment="1">
      <alignment horizontal="left" vertical="center"/>
    </xf>
    <xf numFmtId="0" fontId="36" fillId="0" borderId="33" xfId="37" applyFont="1" applyFill="1" applyBorder="1" applyAlignment="1">
      <alignment horizontal="center" vertical="center"/>
    </xf>
    <xf numFmtId="0" fontId="36" fillId="0" borderId="34" xfId="37" applyFont="1" applyFill="1" applyBorder="1" applyAlignment="1">
      <alignment horizontal="center" vertical="center"/>
    </xf>
    <xf numFmtId="0" fontId="2" fillId="0" borderId="15" xfId="37" applyFont="1" applyBorder="1" applyAlignment="1">
      <alignment horizontal="left" vertical="center"/>
    </xf>
    <xf numFmtId="0" fontId="36" fillId="0" borderId="32" xfId="38" applyFont="1" applyFill="1" applyBorder="1" applyAlignment="1">
      <alignment horizontal="left" vertical="center"/>
    </xf>
    <xf numFmtId="0" fontId="36" fillId="0" borderId="32" xfId="37" applyFont="1" applyFill="1" applyBorder="1" applyAlignment="1">
      <alignment horizontal="left" vertical="center"/>
    </xf>
    <xf numFmtId="0" fontId="2" fillId="0" borderId="12" xfId="37" applyFont="1" applyBorder="1" applyAlignment="1">
      <alignment horizontal="center" vertical="center"/>
    </xf>
    <xf numFmtId="0" fontId="2" fillId="0" borderId="26" xfId="37" applyFont="1" applyBorder="1" applyAlignment="1">
      <alignment horizontal="center" vertical="center"/>
    </xf>
    <xf numFmtId="0" fontId="2" fillId="0" borderId="23" xfId="37" applyFont="1" applyBorder="1" applyAlignment="1">
      <alignment horizontal="center" vertical="top"/>
    </xf>
    <xf numFmtId="0" fontId="2" fillId="0" borderId="25" xfId="37" applyFont="1" applyBorder="1" applyAlignment="1">
      <alignment horizontal="center" vertical="top"/>
    </xf>
    <xf numFmtId="0" fontId="2" fillId="0" borderId="22" xfId="37" applyFont="1" applyBorder="1" applyAlignment="1">
      <alignment horizontal="center" vertical="top"/>
    </xf>
    <xf numFmtId="0" fontId="2" fillId="0" borderId="10" xfId="37" applyFont="1" applyFill="1" applyBorder="1" applyAlignment="1">
      <alignment vertical="center"/>
    </xf>
    <xf numFmtId="2" fontId="38" fillId="0" borderId="12" xfId="37" applyNumberFormat="1" applyFont="1" applyBorder="1" applyAlignment="1">
      <alignment horizontal="center" vertical="center"/>
    </xf>
    <xf numFmtId="2" fontId="38" fillId="0" borderId="13" xfId="37" applyNumberFormat="1" applyFont="1" applyBorder="1" applyAlignment="1">
      <alignment horizontal="center" vertical="center"/>
    </xf>
    <xf numFmtId="2" fontId="38" fillId="0" borderId="14" xfId="37" applyNumberFormat="1" applyFont="1" applyBorder="1" applyAlignment="1">
      <alignment horizontal="center" vertical="center"/>
    </xf>
    <xf numFmtId="0" fontId="2" fillId="0" borderId="13" xfId="37" applyFont="1" applyBorder="1" applyAlignment="1">
      <alignment horizontal="center" vertical="center"/>
    </xf>
    <xf numFmtId="0" fontId="2" fillId="0" borderId="14" xfId="37" applyFont="1" applyBorder="1" applyAlignment="1">
      <alignment horizontal="center" vertical="center"/>
    </xf>
    <xf numFmtId="0" fontId="2" fillId="0" borderId="18" xfId="37" applyFont="1" applyBorder="1" applyAlignment="1">
      <alignment horizontal="left" vertical="center" wrapText="1"/>
    </xf>
    <xf numFmtId="0" fontId="2" fillId="0" borderId="19" xfId="37" applyFont="1" applyBorder="1" applyAlignment="1">
      <alignment horizontal="left" vertical="center" wrapText="1"/>
    </xf>
    <xf numFmtId="0" fontId="2" fillId="0" borderId="16" xfId="37" applyFont="1" applyBorder="1" applyAlignment="1">
      <alignment horizontal="left" vertical="center" wrapText="1"/>
    </xf>
    <xf numFmtId="0" fontId="2" fillId="0" borderId="20" xfId="37" applyFont="1" applyBorder="1" applyAlignment="1">
      <alignment horizontal="left" vertical="center" wrapText="1"/>
    </xf>
    <xf numFmtId="0" fontId="32" fillId="0" borderId="12" xfId="37" applyFont="1" applyBorder="1" applyAlignment="1">
      <alignment horizontal="center" vertical="center"/>
    </xf>
    <xf numFmtId="0" fontId="32" fillId="0" borderId="13" xfId="37" applyFont="1" applyBorder="1" applyAlignment="1">
      <alignment horizontal="center" vertical="center"/>
    </xf>
    <xf numFmtId="0" fontId="32" fillId="0" borderId="14" xfId="37" applyFont="1" applyBorder="1" applyAlignment="1">
      <alignment horizontal="center" vertical="center"/>
    </xf>
    <xf numFmtId="0" fontId="2" fillId="0" borderId="24" xfId="37" applyFont="1" applyBorder="1" applyAlignment="1">
      <alignment horizontal="center" vertical="top"/>
    </xf>
    <xf numFmtId="0" fontId="3" fillId="0" borderId="10" xfId="37" applyFont="1" applyBorder="1" applyAlignment="1">
      <alignment horizontal="left" vertical="center"/>
    </xf>
    <xf numFmtId="0" fontId="3" fillId="0" borderId="21" xfId="37" applyFont="1" applyBorder="1" applyAlignment="1">
      <alignment horizontal="left" vertical="center"/>
    </xf>
    <xf numFmtId="0" fontId="2" fillId="0" borderId="12" xfId="37" applyFont="1" applyBorder="1" applyAlignment="1">
      <alignment horizontal="left" vertical="top"/>
    </xf>
    <xf numFmtId="0" fontId="2" fillId="0" borderId="13" xfId="37" applyFont="1" applyBorder="1" applyAlignment="1">
      <alignment horizontal="left" vertical="top"/>
    </xf>
    <xf numFmtId="0" fontId="2" fillId="0" borderId="14" xfId="37" applyFont="1" applyBorder="1" applyAlignment="1">
      <alignment horizontal="left" vertical="top"/>
    </xf>
    <xf numFmtId="0" fontId="2" fillId="0" borderId="21" xfId="37" applyFont="1" applyBorder="1" applyAlignment="1">
      <alignment horizontal="left" vertical="center"/>
    </xf>
    <xf numFmtId="0" fontId="7" fillId="0" borderId="10" xfId="37" applyFont="1" applyBorder="1" applyAlignment="1">
      <alignment horizontal="left" vertical="center"/>
    </xf>
    <xf numFmtId="0" fontId="7" fillId="0" borderId="21" xfId="37" applyFont="1" applyBorder="1" applyAlignment="1">
      <alignment horizontal="left" vertical="center"/>
    </xf>
    <xf numFmtId="0" fontId="47" fillId="0" borderId="10" xfId="37" applyFont="1" applyFill="1" applyBorder="1" applyAlignment="1">
      <alignment horizontal="left" vertical="center" wrapText="1"/>
    </xf>
    <xf numFmtId="0" fontId="2" fillId="0" borderId="21" xfId="37" applyFont="1" applyBorder="1" applyAlignment="1">
      <alignment horizontal="center" vertical="center"/>
    </xf>
    <xf numFmtId="0" fontId="52" fillId="29" borderId="0" xfId="37" applyFont="1" applyFill="1" applyBorder="1" applyAlignment="1">
      <alignment horizontal="center" vertical="top" wrapText="1"/>
    </xf>
    <xf numFmtId="2" fontId="3" fillId="0" borderId="12" xfId="0" applyNumberFormat="1" applyFont="1" applyBorder="1" applyAlignment="1">
      <alignment horizontal="left" vertical="center"/>
    </xf>
    <xf numFmtId="2" fontId="3" fillId="0" borderId="13" xfId="0" applyNumberFormat="1" applyFont="1" applyBorder="1" applyAlignment="1">
      <alignment horizontal="left" vertical="center"/>
    </xf>
    <xf numFmtId="2" fontId="3" fillId="0" borderId="14" xfId="0" applyNumberFormat="1" applyFont="1" applyBorder="1" applyAlignment="1">
      <alignment horizontal="left" vertical="center"/>
    </xf>
    <xf numFmtId="2" fontId="3" fillId="0" borderId="10" xfId="0" applyNumberFormat="1" applyFont="1" applyBorder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0" fontId="30" fillId="0" borderId="10" xfId="37" applyFont="1" applyBorder="1" applyAlignment="1">
      <alignment horizontal="center" vertical="center"/>
    </xf>
    <xf numFmtId="0" fontId="30" fillId="0" borderId="12" xfId="37" applyFont="1" applyBorder="1" applyAlignment="1">
      <alignment horizontal="center" vertical="center"/>
    </xf>
    <xf numFmtId="0" fontId="30" fillId="0" borderId="13" xfId="37" applyFont="1" applyBorder="1" applyAlignment="1">
      <alignment horizontal="center" vertical="center"/>
    </xf>
    <xf numFmtId="0" fontId="30" fillId="0" borderId="14" xfId="37" applyFont="1" applyBorder="1" applyAlignment="1">
      <alignment horizontal="center" vertical="center"/>
    </xf>
    <xf numFmtId="0" fontId="6" fillId="0" borderId="12" xfId="37" applyFont="1" applyBorder="1" applyAlignment="1">
      <alignment horizontal="center" vertical="center"/>
    </xf>
    <xf numFmtId="0" fontId="0" fillId="0" borderId="13" xfId="37" applyFont="1" applyBorder="1" applyAlignment="1">
      <alignment horizontal="center" vertical="center"/>
    </xf>
    <xf numFmtId="0" fontId="0" fillId="0" borderId="14" xfId="37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left" vertical="center"/>
    </xf>
    <xf numFmtId="2" fontId="2" fillId="0" borderId="13" xfId="0" applyNumberFormat="1" applyFont="1" applyBorder="1" applyAlignment="1">
      <alignment horizontal="left" vertical="center"/>
    </xf>
    <xf numFmtId="2" fontId="2" fillId="0" borderId="14" xfId="0" applyNumberFormat="1" applyFont="1" applyBorder="1" applyAlignment="1">
      <alignment horizontal="left" vertical="center"/>
    </xf>
    <xf numFmtId="0" fontId="68" fillId="29" borderId="0" xfId="37" applyFont="1" applyFill="1" applyAlignment="1">
      <alignment horizontal="left" vertical="top" wrapText="1"/>
    </xf>
    <xf numFmtId="0" fontId="2" fillId="0" borderId="12" xfId="37" applyFont="1" applyBorder="1" applyAlignment="1">
      <alignment horizontal="center" vertical="center" wrapText="1"/>
    </xf>
    <xf numFmtId="0" fontId="2" fillId="0" borderId="26" xfId="37" applyFont="1" applyBorder="1" applyAlignment="1">
      <alignment horizontal="center" vertical="center" wrapText="1"/>
    </xf>
    <xf numFmtId="0" fontId="38" fillId="0" borderId="10" xfId="37" applyFont="1" applyBorder="1" applyAlignment="1">
      <alignment horizontal="center" vertical="center" wrapText="1"/>
    </xf>
    <xf numFmtId="2" fontId="38" fillId="0" borderId="12" xfId="37" applyNumberFormat="1" applyFont="1" applyBorder="1" applyAlignment="1">
      <alignment horizontal="right" vertical="center" wrapText="1"/>
    </xf>
    <xf numFmtId="2" fontId="38" fillId="0" borderId="26" xfId="37" applyNumberFormat="1" applyFont="1" applyBorder="1" applyAlignment="1">
      <alignment horizontal="right" vertical="center" wrapText="1"/>
    </xf>
    <xf numFmtId="0" fontId="35" fillId="0" borderId="27" xfId="37" applyFont="1" applyBorder="1" applyAlignment="1">
      <alignment horizontal="right" vertical="center"/>
    </xf>
    <xf numFmtId="0" fontId="35" fillId="0" borderId="28" xfId="37" applyFont="1" applyBorder="1" applyAlignment="1">
      <alignment horizontal="right" vertical="center"/>
    </xf>
    <xf numFmtId="0" fontId="2" fillId="0" borderId="10" xfId="37" applyFont="1" applyBorder="1" applyAlignment="1">
      <alignment horizontal="center" vertical="center" wrapText="1"/>
    </xf>
    <xf numFmtId="0" fontId="2" fillId="0" borderId="14" xfId="37" applyFont="1" applyBorder="1" applyAlignment="1">
      <alignment horizontal="center" vertical="center" wrapText="1"/>
    </xf>
    <xf numFmtId="0" fontId="3" fillId="0" borderId="17" xfId="37" applyFont="1" applyBorder="1" applyAlignment="1">
      <alignment horizontal="center" vertical="center" wrapText="1"/>
    </xf>
    <xf numFmtId="0" fontId="3" fillId="0" borderId="19" xfId="37" applyFont="1" applyBorder="1" applyAlignment="1">
      <alignment horizontal="center" vertical="center" wrapText="1"/>
    </xf>
    <xf numFmtId="0" fontId="3" fillId="0" borderId="11" xfId="37" applyFont="1" applyBorder="1" applyAlignment="1">
      <alignment horizontal="center" vertical="center" wrapText="1"/>
    </xf>
    <xf numFmtId="0" fontId="3" fillId="0" borderId="20" xfId="37" applyFont="1" applyBorder="1" applyAlignment="1">
      <alignment horizontal="center" vertical="center" wrapText="1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_pay 2008-09" xfId="38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4">
    <dxf>
      <font>
        <condense val="0"/>
        <extend val="0"/>
        <color indexed="9"/>
      </font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0000FF"/>
      <color rgb="FFFFFF00"/>
      <color rgb="FFFFCC99"/>
      <color rgb="FFCCFFCC"/>
      <color rgb="FF00FFFF"/>
      <color rgb="FFFF99CC"/>
      <color rgb="FFFF66CC"/>
      <color rgb="FF33CCCC"/>
      <color rgb="FFFF99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70956</xdr:colOff>
      <xdr:row>0</xdr:row>
      <xdr:rowOff>73738</xdr:rowOff>
    </xdr:from>
    <xdr:to>
      <xdr:col>25</xdr:col>
      <xdr:colOff>306941</xdr:colOff>
      <xdr:row>1</xdr:row>
      <xdr:rowOff>228600</xdr:rowOff>
    </xdr:to>
    <xdr:sp macro="" textlink="">
      <xdr:nvSpPr>
        <xdr:cNvPr id="2" name="Right Arrow 1"/>
        <xdr:cNvSpPr/>
      </xdr:nvSpPr>
      <xdr:spPr>
        <a:xfrm>
          <a:off x="8967306" y="73738"/>
          <a:ext cx="636035" cy="231062"/>
        </a:xfrm>
        <a:prstGeom prst="right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22</xdr:col>
      <xdr:colOff>117724</xdr:colOff>
      <xdr:row>2</xdr:row>
      <xdr:rowOff>32105</xdr:rowOff>
    </xdr:from>
    <xdr:to>
      <xdr:col>23</xdr:col>
      <xdr:colOff>353174</xdr:colOff>
      <xdr:row>2</xdr:row>
      <xdr:rowOff>267555</xdr:rowOff>
    </xdr:to>
    <xdr:sp macro="" textlink="">
      <xdr:nvSpPr>
        <xdr:cNvPr id="3" name="Right Arrow 2"/>
        <xdr:cNvSpPr/>
      </xdr:nvSpPr>
      <xdr:spPr>
        <a:xfrm>
          <a:off x="8133707" y="406684"/>
          <a:ext cx="631433" cy="235450"/>
        </a:xfrm>
        <a:prstGeom prst="right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8</xdr:col>
      <xdr:colOff>385281</xdr:colOff>
      <xdr:row>2</xdr:row>
      <xdr:rowOff>32107</xdr:rowOff>
    </xdr:from>
    <xdr:to>
      <xdr:col>10</xdr:col>
      <xdr:colOff>288961</xdr:colOff>
      <xdr:row>2</xdr:row>
      <xdr:rowOff>267557</xdr:rowOff>
    </xdr:to>
    <xdr:sp macro="" textlink="">
      <xdr:nvSpPr>
        <xdr:cNvPr id="4" name="Right Arrow 3"/>
        <xdr:cNvSpPr/>
      </xdr:nvSpPr>
      <xdr:spPr>
        <a:xfrm>
          <a:off x="3199972" y="406686"/>
          <a:ext cx="631433" cy="235450"/>
        </a:xfrm>
        <a:prstGeom prst="right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IN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51955</xdr:colOff>
      <xdr:row>63</xdr:row>
      <xdr:rowOff>17318</xdr:rowOff>
    </xdr:from>
    <xdr:to>
      <xdr:col>17</xdr:col>
      <xdr:colOff>112568</xdr:colOff>
      <xdr:row>65</xdr:row>
      <xdr:rowOff>190500</xdr:rowOff>
    </xdr:to>
    <xdr:sp macro="" textlink="">
      <xdr:nvSpPr>
        <xdr:cNvPr id="2" name="Rounded Rectangle 1"/>
        <xdr:cNvSpPr/>
      </xdr:nvSpPr>
      <xdr:spPr>
        <a:xfrm>
          <a:off x="51955" y="12443113"/>
          <a:ext cx="7671954" cy="571501"/>
        </a:xfrm>
        <a:prstGeom prst="roundRect">
          <a:avLst/>
        </a:prstGeom>
        <a:solidFill>
          <a:schemeClr val="accent6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n-IN" sz="1400" b="1">
              <a:solidFill>
                <a:srgbClr val="FFFF00"/>
              </a:solidFill>
              <a:latin typeface="DevLys 010" pitchFamily="2" charset="0"/>
            </a:rPr>
            <a:t>;g odZcqd f'k{kdksa dh mi;ksfxrk ds fy, rS;kj dh xbZ gSA ladyu ,oa x.kuk esa iw.kZ lko/kkuh j[kh xbZ gSA fQj Hkh =qfV ;k fdlh Hkh izdkj dh fofHkUurk dh fLFkfr esa vk;dj foHkkx ds fu;e gh ekU; gSA rS;kjdrkZ dk dksbZ mRrjnkf;Ro ugha gksxkA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I946"/>
  <sheetViews>
    <sheetView showGridLines="0" tabSelected="1" workbookViewId="0">
      <pane xSplit="3" ySplit="9" topLeftCell="D10" activePane="bottomRight" state="frozen"/>
      <selection pane="topRight" activeCell="B1" sqref="B1"/>
      <selection pane="bottomLeft" activeCell="A5" sqref="A5"/>
      <selection pane="bottomRight" activeCell="X11" sqref="X11"/>
    </sheetView>
  </sheetViews>
  <sheetFormatPr defaultColWidth="0" defaultRowHeight="12.75" zeroHeight="1"/>
  <cols>
    <col min="1" max="1" width="0.42578125" style="82" customWidth="1"/>
    <col min="2" max="2" width="5.140625" style="6" hidden="1" customWidth="1"/>
    <col min="3" max="3" width="13.140625" style="6" customWidth="1"/>
    <col min="4" max="4" width="7" style="6" customWidth="1"/>
    <col min="5" max="7" width="5" style="6" customWidth="1"/>
    <col min="8" max="8" width="7" style="6" customWidth="1"/>
    <col min="9" max="9" width="6" style="6" customWidth="1"/>
    <col min="10" max="10" width="5" style="6" customWidth="1"/>
    <col min="11" max="13" width="6" style="6" customWidth="1"/>
    <col min="14" max="14" width="7" style="6" customWidth="1"/>
    <col min="15" max="15" width="6" style="6" customWidth="1"/>
    <col min="16" max="16" width="5" style="6" customWidth="1"/>
    <col min="17" max="17" width="6" style="6" customWidth="1"/>
    <col min="18" max="18" width="5.5703125" style="6" customWidth="1"/>
    <col min="19" max="19" width="4.85546875" style="6" customWidth="1"/>
    <col min="20" max="20" width="6" style="6" customWidth="1"/>
    <col min="21" max="21" width="4" style="6" customWidth="1"/>
    <col min="22" max="22" width="5" style="6" customWidth="1"/>
    <col min="23" max="23" width="6" style="6" customWidth="1"/>
    <col min="24" max="24" width="6.42578125" style="6" bestFit="1" customWidth="1"/>
    <col min="25" max="27" width="6" style="6" customWidth="1"/>
    <col min="28" max="28" width="9.42578125" style="6" bestFit="1" customWidth="1"/>
    <col min="29" max="29" width="10" style="6" customWidth="1"/>
    <col min="30" max="30" width="15.5703125" style="6" customWidth="1"/>
    <col min="31" max="31" width="0.85546875" style="36" customWidth="1"/>
    <col min="32" max="35" width="0" style="36" hidden="1" customWidth="1"/>
    <col min="36" max="16384" width="9.140625" style="36" hidden="1"/>
  </cols>
  <sheetData>
    <row r="1" spans="1:31" ht="6" customHeight="1"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</row>
    <row r="2" spans="1:31" ht="23.25" customHeight="1">
      <c r="C2" s="84"/>
      <c r="D2" s="122" t="s">
        <v>198</v>
      </c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85"/>
      <c r="AA2" s="118" t="s">
        <v>203</v>
      </c>
      <c r="AB2" s="118"/>
      <c r="AC2" s="83"/>
      <c r="AD2" s="83"/>
      <c r="AE2" s="83"/>
    </row>
    <row r="3" spans="1:31" ht="23.25" customHeight="1">
      <c r="C3" s="84"/>
      <c r="D3" s="120" t="s">
        <v>200</v>
      </c>
      <c r="E3" s="120"/>
      <c r="F3" s="120"/>
      <c r="G3" s="120"/>
      <c r="H3" s="120"/>
      <c r="I3" s="120"/>
      <c r="J3" s="120"/>
      <c r="K3" s="128"/>
      <c r="L3" s="118" t="s">
        <v>188</v>
      </c>
      <c r="M3" s="118"/>
      <c r="N3" s="119" t="s">
        <v>199</v>
      </c>
      <c r="O3" s="120"/>
      <c r="P3" s="120"/>
      <c r="Q3" s="120"/>
      <c r="R3" s="120"/>
      <c r="S3" s="120"/>
      <c r="T3" s="120"/>
      <c r="U3" s="120"/>
      <c r="V3" s="120"/>
      <c r="W3" s="83"/>
      <c r="X3" s="86"/>
      <c r="Y3" s="129">
        <v>9</v>
      </c>
      <c r="Z3" s="129"/>
      <c r="AA3" s="85"/>
      <c r="AB3" s="83"/>
      <c r="AC3" s="83"/>
      <c r="AD3" s="83"/>
      <c r="AE3" s="83"/>
    </row>
    <row r="4" spans="1:31" s="82" customFormat="1" ht="2.25" customHeight="1">
      <c r="B4" s="6"/>
      <c r="C4" s="75"/>
      <c r="D4" s="76"/>
      <c r="E4" s="76"/>
      <c r="F4" s="76"/>
      <c r="G4" s="76"/>
      <c r="H4" s="76"/>
      <c r="I4" s="76"/>
      <c r="J4" s="76"/>
      <c r="K4" s="76"/>
      <c r="L4" s="77"/>
      <c r="M4" s="77"/>
      <c r="N4" s="78"/>
      <c r="O4" s="78"/>
      <c r="P4" s="78"/>
      <c r="Q4" s="78"/>
      <c r="R4" s="78"/>
      <c r="S4" s="78"/>
      <c r="T4" s="78"/>
      <c r="U4" s="78"/>
      <c r="V4" s="79"/>
      <c r="W4" s="79"/>
      <c r="X4" s="76"/>
      <c r="Y4" s="76"/>
      <c r="Z4" s="80"/>
      <c r="AA4" s="80"/>
      <c r="AB4" s="81"/>
    </row>
    <row r="5" spans="1:31" ht="25.5">
      <c r="C5" s="123" t="s">
        <v>157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6"/>
    </row>
    <row r="6" spans="1:31" ht="20.25">
      <c r="C6" s="124" t="s">
        <v>150</v>
      </c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6"/>
    </row>
    <row r="7" spans="1:31" ht="6.75" customHeight="1"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6"/>
    </row>
    <row r="8" spans="1:31" s="37" customFormat="1" ht="17.100000000000001" customHeight="1">
      <c r="A8" s="102"/>
      <c r="B8" s="34"/>
      <c r="C8" s="73" t="s">
        <v>37</v>
      </c>
      <c r="D8" s="121" t="s">
        <v>123</v>
      </c>
      <c r="E8" s="121"/>
      <c r="F8" s="121"/>
      <c r="G8" s="121"/>
      <c r="H8" s="121"/>
      <c r="I8" s="121"/>
      <c r="J8" s="125" t="s">
        <v>38</v>
      </c>
      <c r="K8" s="125"/>
      <c r="L8" s="126" t="s">
        <v>201</v>
      </c>
      <c r="M8" s="126"/>
      <c r="N8" s="126"/>
      <c r="O8" s="126"/>
      <c r="P8" s="33"/>
      <c r="Q8" s="34"/>
      <c r="R8" s="33"/>
      <c r="S8" s="125" t="s">
        <v>36</v>
      </c>
      <c r="T8" s="125"/>
      <c r="U8" s="121" t="s">
        <v>145</v>
      </c>
      <c r="V8" s="121"/>
      <c r="W8" s="121"/>
      <c r="X8" s="121"/>
      <c r="Y8" s="121"/>
      <c r="Z8" s="34"/>
      <c r="AA8" s="125" t="s">
        <v>139</v>
      </c>
      <c r="AB8" s="125"/>
      <c r="AC8" s="127" t="s">
        <v>147</v>
      </c>
      <c r="AD8" s="127"/>
      <c r="AE8" s="34"/>
    </row>
    <row r="9" spans="1:31" s="38" customFormat="1" ht="123.75" customHeight="1">
      <c r="A9" s="103"/>
      <c r="B9" s="22"/>
      <c r="C9" s="44" t="s">
        <v>17</v>
      </c>
      <c r="D9" s="45" t="s">
        <v>2</v>
      </c>
      <c r="E9" s="45" t="s">
        <v>3</v>
      </c>
      <c r="F9" s="45" t="s">
        <v>124</v>
      </c>
      <c r="G9" s="45" t="s">
        <v>29</v>
      </c>
      <c r="H9" s="45" t="s">
        <v>30</v>
      </c>
      <c r="I9" s="45" t="s">
        <v>31</v>
      </c>
      <c r="J9" s="45" t="s">
        <v>135</v>
      </c>
      <c r="K9" s="45" t="s">
        <v>131</v>
      </c>
      <c r="L9" s="46" t="s">
        <v>160</v>
      </c>
      <c r="M9" s="46" t="s">
        <v>32</v>
      </c>
      <c r="N9" s="71" t="s">
        <v>133</v>
      </c>
      <c r="O9" s="45" t="s">
        <v>18</v>
      </c>
      <c r="P9" s="63" t="s">
        <v>19</v>
      </c>
      <c r="Q9" s="63" t="s">
        <v>132</v>
      </c>
      <c r="R9" s="63" t="s">
        <v>131</v>
      </c>
      <c r="S9" s="45" t="s">
        <v>20</v>
      </c>
      <c r="T9" s="45" t="s">
        <v>1</v>
      </c>
      <c r="U9" s="45" t="s">
        <v>21</v>
      </c>
      <c r="V9" s="46"/>
      <c r="W9" s="45" t="s">
        <v>8</v>
      </c>
      <c r="X9" s="45" t="s">
        <v>127</v>
      </c>
      <c r="Y9" s="63" t="s">
        <v>129</v>
      </c>
      <c r="Z9" s="63" t="s">
        <v>128</v>
      </c>
      <c r="AA9" s="63" t="s">
        <v>122</v>
      </c>
      <c r="AB9" s="45" t="s">
        <v>130</v>
      </c>
      <c r="AC9" s="45" t="s">
        <v>11</v>
      </c>
      <c r="AD9" s="44" t="s">
        <v>134</v>
      </c>
      <c r="AE9" s="22"/>
    </row>
    <row r="10" spans="1:31" s="39" customFormat="1" ht="17.100000000000001" customHeight="1">
      <c r="A10" s="104"/>
      <c r="B10" s="23">
        <v>3</v>
      </c>
      <c r="C10" s="35">
        <v>42064</v>
      </c>
      <c r="D10" s="65">
        <v>24710</v>
      </c>
      <c r="E10" s="65">
        <v>0</v>
      </c>
      <c r="F10" s="65">
        <v>0</v>
      </c>
      <c r="G10" s="65">
        <v>0</v>
      </c>
      <c r="H10" s="65">
        <f>ROUND(107%*D10,0)</f>
        <v>26440</v>
      </c>
      <c r="I10" s="65">
        <f>ROUND(0.1*D10,0)</f>
        <v>2471</v>
      </c>
      <c r="J10" s="65">
        <v>0</v>
      </c>
      <c r="K10" s="65">
        <f t="shared" ref="K10:K23" si="0">IF($AA$2="Yes",ROUND((D10+H10)*0.1,0),0)</f>
        <v>0</v>
      </c>
      <c r="L10" s="65">
        <v>0</v>
      </c>
      <c r="M10" s="65">
        <v>0</v>
      </c>
      <c r="N10" s="66">
        <f>SUM(D10:M10)</f>
        <v>53621</v>
      </c>
      <c r="O10" s="65">
        <f t="shared" ref="O10:O21" si="1">IF($AA$2="No",IF(D10&lt;9001,500,IF(D10&lt;11001,650,IF(D10&lt;15001,1100,IF(D10&lt;20001,1450,IF(D10&lt;24001,2100,IF(D10&lt;28001,3300,IF(D10&lt;31001,4100,IF(D10&lt;45001,5200,IF(D10&lt;65001,5700,6200))))))))),0)</f>
        <v>3300</v>
      </c>
      <c r="P10" s="65">
        <v>0</v>
      </c>
      <c r="Q10" s="65">
        <f>K10</f>
        <v>0</v>
      </c>
      <c r="R10" s="65">
        <f>K10</f>
        <v>0</v>
      </c>
      <c r="S10" s="65">
        <f>IF(D10&lt;8501,400,IF(D10&lt;11001,550,IF(D10&lt;18001,1100,IF(D10&lt;28001,1550,2650))))</f>
        <v>1550</v>
      </c>
      <c r="T10" s="65">
        <v>0</v>
      </c>
      <c r="U10" s="65">
        <f>IF($AA$2="No",IF(D10&lt;7001,161,IF(D10&lt;13001,268,IF(D10&lt;21001,401,535))),0)</f>
        <v>535</v>
      </c>
      <c r="V10" s="65"/>
      <c r="W10" s="65">
        <v>5643</v>
      </c>
      <c r="X10" s="65">
        <v>0</v>
      </c>
      <c r="Y10" s="65">
        <v>0</v>
      </c>
      <c r="Z10" s="65">
        <v>0</v>
      </c>
      <c r="AA10" s="65">
        <v>2500</v>
      </c>
      <c r="AB10" s="67">
        <f t="shared" ref="AB10:AB28" si="2">SUM(O10:AA10)</f>
        <v>13528</v>
      </c>
      <c r="AC10" s="68">
        <f t="shared" ref="AC10:AC28" si="3">N10-AB10</f>
        <v>40093</v>
      </c>
      <c r="AD10" s="65" t="s">
        <v>175</v>
      </c>
      <c r="AE10" s="23"/>
    </row>
    <row r="11" spans="1:31" s="39" customFormat="1" ht="17.100000000000001" customHeight="1">
      <c r="A11" s="104"/>
      <c r="B11" s="23">
        <v>4</v>
      </c>
      <c r="C11" s="35">
        <v>42095</v>
      </c>
      <c r="D11" s="65">
        <f>D10</f>
        <v>24710</v>
      </c>
      <c r="E11" s="65">
        <f>IF(E$10=0,0,ROUND(D11/2,0))</f>
        <v>0</v>
      </c>
      <c r="F11" s="65">
        <f t="shared" ref="F11:G16" si="4">IF(F$10=0,0,F10)</f>
        <v>0</v>
      </c>
      <c r="G11" s="65">
        <f t="shared" si="4"/>
        <v>0</v>
      </c>
      <c r="H11" s="65">
        <f>ROUND(113%*D11,0)</f>
        <v>27922</v>
      </c>
      <c r="I11" s="65">
        <f t="shared" ref="I11:I21" si="5">IF(I$10=0,0,ROUND(0.1*D11,0))</f>
        <v>2471</v>
      </c>
      <c r="J11" s="65">
        <f t="shared" ref="J11:J21" si="6">IF(J$10=0,0,J10)</f>
        <v>0</v>
      </c>
      <c r="K11" s="65">
        <f t="shared" si="0"/>
        <v>0</v>
      </c>
      <c r="L11" s="65">
        <f t="shared" ref="L11:L21" si="7">IF(L$10=0,0,L10)</f>
        <v>0</v>
      </c>
      <c r="M11" s="65">
        <f t="shared" ref="M11:M21" si="8">IF(M$10=0,0,M10)</f>
        <v>0</v>
      </c>
      <c r="N11" s="66">
        <f t="shared" ref="N11:N22" si="9">SUM(D11:M11)</f>
        <v>55103</v>
      </c>
      <c r="O11" s="65">
        <f t="shared" si="1"/>
        <v>3300</v>
      </c>
      <c r="P11" s="65">
        <f>P10</f>
        <v>0</v>
      </c>
      <c r="Q11" s="65">
        <f t="shared" ref="Q11:Q25" si="10">K11</f>
        <v>0</v>
      </c>
      <c r="R11" s="65">
        <f t="shared" ref="R11:R25" si="11">K11</f>
        <v>0</v>
      </c>
      <c r="S11" s="65">
        <f>S10</f>
        <v>1550</v>
      </c>
      <c r="T11" s="65">
        <f>T10</f>
        <v>0</v>
      </c>
      <c r="U11" s="65">
        <f t="shared" ref="U11" si="12">IF($AA$2="No",IF(D11&lt;7001,161,IF(D11&lt;13001,268,IF(D11&lt;21001,401,535))),0)</f>
        <v>535</v>
      </c>
      <c r="V11" s="65">
        <f>V10</f>
        <v>0</v>
      </c>
      <c r="W11" s="65">
        <f>W10</f>
        <v>5643</v>
      </c>
      <c r="X11" s="69">
        <v>247.19</v>
      </c>
      <c r="Y11" s="65">
        <f t="shared" ref="Y11:AA21" si="13">Y10</f>
        <v>0</v>
      </c>
      <c r="Z11" s="65">
        <f t="shared" si="13"/>
        <v>0</v>
      </c>
      <c r="AA11" s="65">
        <f>AA10</f>
        <v>2500</v>
      </c>
      <c r="AB11" s="67">
        <f t="shared" si="2"/>
        <v>13775.19</v>
      </c>
      <c r="AC11" s="68">
        <f t="shared" si="3"/>
        <v>41327.81</v>
      </c>
      <c r="AD11" s="65" t="s">
        <v>176</v>
      </c>
      <c r="AE11" s="23"/>
    </row>
    <row r="12" spans="1:31" s="39" customFormat="1" ht="17.100000000000001" customHeight="1">
      <c r="A12" s="104"/>
      <c r="B12" s="23">
        <v>5</v>
      </c>
      <c r="C12" s="35">
        <v>42125</v>
      </c>
      <c r="D12" s="65">
        <f t="shared" ref="D12:D13" si="14">D11</f>
        <v>24710</v>
      </c>
      <c r="E12" s="65">
        <f t="shared" ref="E12:E21" si="15">IF($E$10=0,0,ROUND(D12/2,0))</f>
        <v>0</v>
      </c>
      <c r="F12" s="65">
        <f t="shared" si="4"/>
        <v>0</v>
      </c>
      <c r="G12" s="65">
        <f t="shared" si="4"/>
        <v>0</v>
      </c>
      <c r="H12" s="65">
        <f t="shared" ref="H12:H15" si="16">ROUND(113%*D12,0)</f>
        <v>27922</v>
      </c>
      <c r="I12" s="65">
        <f t="shared" si="5"/>
        <v>2471</v>
      </c>
      <c r="J12" s="65"/>
      <c r="K12" s="65">
        <f t="shared" si="0"/>
        <v>0</v>
      </c>
      <c r="L12" s="65">
        <f>IF(L$10=0,0,L11)</f>
        <v>0</v>
      </c>
      <c r="M12" s="65">
        <f t="shared" si="8"/>
        <v>0</v>
      </c>
      <c r="N12" s="66">
        <f t="shared" si="9"/>
        <v>55103</v>
      </c>
      <c r="O12" s="65">
        <f t="shared" si="1"/>
        <v>3300</v>
      </c>
      <c r="P12" s="65">
        <f t="shared" ref="P12:P21" si="17">P11</f>
        <v>0</v>
      </c>
      <c r="Q12" s="65">
        <f t="shared" si="10"/>
        <v>0</v>
      </c>
      <c r="R12" s="65">
        <f t="shared" si="11"/>
        <v>0</v>
      </c>
      <c r="S12" s="65">
        <f t="shared" ref="S12:S21" si="18">S11</f>
        <v>1550</v>
      </c>
      <c r="T12" s="65">
        <f t="shared" ref="T12:T21" si="19">T11</f>
        <v>0</v>
      </c>
      <c r="U12" s="65">
        <f>IF($AA$2="No",IF(D12&lt;7001,170,IF(D12&lt;13001,282,IF(D12&lt;21001,424,565))),0)</f>
        <v>565</v>
      </c>
      <c r="V12" s="65">
        <f t="shared" ref="V12:V21" si="20">V11</f>
        <v>0</v>
      </c>
      <c r="W12" s="65">
        <f t="shared" ref="W12:W21" si="21">W11</f>
        <v>5643</v>
      </c>
      <c r="X12" s="65">
        <v>0</v>
      </c>
      <c r="Y12" s="65">
        <f t="shared" si="13"/>
        <v>0</v>
      </c>
      <c r="Z12" s="65">
        <f t="shared" si="13"/>
        <v>0</v>
      </c>
      <c r="AA12" s="65">
        <f t="shared" si="13"/>
        <v>2500</v>
      </c>
      <c r="AB12" s="67">
        <f t="shared" si="2"/>
        <v>13558</v>
      </c>
      <c r="AC12" s="68">
        <f t="shared" si="3"/>
        <v>41545</v>
      </c>
      <c r="AD12" s="65" t="s">
        <v>177</v>
      </c>
      <c r="AE12" s="23"/>
    </row>
    <row r="13" spans="1:31" s="39" customFormat="1" ht="17.100000000000001" customHeight="1">
      <c r="A13" s="104"/>
      <c r="B13" s="23">
        <v>6</v>
      </c>
      <c r="C13" s="35">
        <v>42156</v>
      </c>
      <c r="D13" s="65">
        <f t="shared" si="14"/>
        <v>24710</v>
      </c>
      <c r="E13" s="65">
        <f t="shared" si="15"/>
        <v>0</v>
      </c>
      <c r="F13" s="65">
        <f t="shared" si="4"/>
        <v>0</v>
      </c>
      <c r="G13" s="65">
        <f t="shared" si="4"/>
        <v>0</v>
      </c>
      <c r="H13" s="65">
        <f t="shared" si="16"/>
        <v>27922</v>
      </c>
      <c r="I13" s="65">
        <f t="shared" si="5"/>
        <v>2471</v>
      </c>
      <c r="J13" s="65">
        <f t="shared" si="6"/>
        <v>0</v>
      </c>
      <c r="K13" s="65">
        <f t="shared" si="0"/>
        <v>0</v>
      </c>
      <c r="L13" s="65">
        <f t="shared" si="7"/>
        <v>0</v>
      </c>
      <c r="M13" s="65">
        <f t="shared" si="8"/>
        <v>0</v>
      </c>
      <c r="N13" s="66">
        <f t="shared" si="9"/>
        <v>55103</v>
      </c>
      <c r="O13" s="65">
        <f t="shared" si="1"/>
        <v>3300</v>
      </c>
      <c r="P13" s="65">
        <f t="shared" si="17"/>
        <v>0</v>
      </c>
      <c r="Q13" s="65">
        <f t="shared" si="10"/>
        <v>0</v>
      </c>
      <c r="R13" s="65">
        <f t="shared" si="11"/>
        <v>0</v>
      </c>
      <c r="S13" s="65">
        <f t="shared" si="18"/>
        <v>1550</v>
      </c>
      <c r="T13" s="65">
        <f t="shared" si="19"/>
        <v>0</v>
      </c>
      <c r="U13" s="65">
        <f>IF($AA$2="No",IF(D13&lt;7001,170,IF(D13&lt;13001,282,IF(D13&lt;21001,424,565))),0)</f>
        <v>565</v>
      </c>
      <c r="V13" s="65">
        <f t="shared" si="20"/>
        <v>0</v>
      </c>
      <c r="W13" s="65">
        <f t="shared" si="21"/>
        <v>5643</v>
      </c>
      <c r="X13" s="65">
        <v>0</v>
      </c>
      <c r="Y13" s="65">
        <f t="shared" si="13"/>
        <v>0</v>
      </c>
      <c r="Z13" s="65">
        <f t="shared" si="13"/>
        <v>0</v>
      </c>
      <c r="AA13" s="65">
        <f t="shared" si="13"/>
        <v>2500</v>
      </c>
      <c r="AB13" s="67">
        <f t="shared" si="2"/>
        <v>13558</v>
      </c>
      <c r="AC13" s="68">
        <f t="shared" si="3"/>
        <v>41545</v>
      </c>
      <c r="AD13" s="65" t="s">
        <v>178</v>
      </c>
      <c r="AE13" s="23"/>
    </row>
    <row r="14" spans="1:31" s="39" customFormat="1" ht="17.100000000000001" customHeight="1">
      <c r="A14" s="104"/>
      <c r="B14" s="23">
        <v>7</v>
      </c>
      <c r="C14" s="35">
        <v>42186</v>
      </c>
      <c r="D14" s="65">
        <f>ROUNDUP(1.03*D13,-1)</f>
        <v>25460</v>
      </c>
      <c r="E14" s="65">
        <f t="shared" si="15"/>
        <v>0</v>
      </c>
      <c r="F14" s="65">
        <f>IF(F$10=0,0,F13)</f>
        <v>0</v>
      </c>
      <c r="G14" s="65">
        <f>IF(G$10=0,0,G13)</f>
        <v>0</v>
      </c>
      <c r="H14" s="65">
        <f t="shared" si="16"/>
        <v>28770</v>
      </c>
      <c r="I14" s="65">
        <f t="shared" si="5"/>
        <v>2546</v>
      </c>
      <c r="J14" s="65">
        <f>IF(J$10=0,0,J13)</f>
        <v>0</v>
      </c>
      <c r="K14" s="65">
        <f t="shared" si="0"/>
        <v>0</v>
      </c>
      <c r="L14" s="65">
        <f>IF(L$10=0,0,L13)</f>
        <v>0</v>
      </c>
      <c r="M14" s="65">
        <f>IF(M$10=0,0,M13)</f>
        <v>0</v>
      </c>
      <c r="N14" s="66">
        <f t="shared" si="9"/>
        <v>56776</v>
      </c>
      <c r="O14" s="65">
        <f t="shared" si="1"/>
        <v>3300</v>
      </c>
      <c r="P14" s="65">
        <f>P13</f>
        <v>0</v>
      </c>
      <c r="Q14" s="65">
        <f t="shared" si="10"/>
        <v>0</v>
      </c>
      <c r="R14" s="65">
        <f t="shared" si="11"/>
        <v>0</v>
      </c>
      <c r="S14" s="65">
        <f>S13</f>
        <v>1550</v>
      </c>
      <c r="T14" s="65">
        <f>T13</f>
        <v>0</v>
      </c>
      <c r="U14" s="65">
        <f>IF($AA$2="No",IF(D14&lt;7001,170,IF(D14&lt;13001,282,IF(D14&lt;21001,424,565))),0)</f>
        <v>565</v>
      </c>
      <c r="V14" s="65">
        <f t="shared" si="20"/>
        <v>0</v>
      </c>
      <c r="W14" s="65">
        <f>W13</f>
        <v>5643</v>
      </c>
      <c r="X14" s="65">
        <v>0</v>
      </c>
      <c r="Y14" s="65">
        <f>Y13</f>
        <v>0</v>
      </c>
      <c r="Z14" s="65">
        <f>Z13</f>
        <v>0</v>
      </c>
      <c r="AA14" s="65">
        <f t="shared" ref="AA14:AA21" si="22">AA13</f>
        <v>2500</v>
      </c>
      <c r="AB14" s="67">
        <f t="shared" si="2"/>
        <v>13558</v>
      </c>
      <c r="AC14" s="68">
        <f t="shared" si="3"/>
        <v>43218</v>
      </c>
      <c r="AD14" s="65" t="s">
        <v>179</v>
      </c>
      <c r="AE14" s="23"/>
    </row>
    <row r="15" spans="1:31" s="39" customFormat="1" ht="17.100000000000001" customHeight="1">
      <c r="A15" s="104"/>
      <c r="B15" s="23">
        <v>8</v>
      </c>
      <c r="C15" s="35">
        <v>42217</v>
      </c>
      <c r="D15" s="65">
        <f t="shared" ref="D15:D21" si="23">D14</f>
        <v>25460</v>
      </c>
      <c r="E15" s="65">
        <f t="shared" si="15"/>
        <v>0</v>
      </c>
      <c r="F15" s="65">
        <f t="shared" si="4"/>
        <v>0</v>
      </c>
      <c r="G15" s="65">
        <f t="shared" si="4"/>
        <v>0</v>
      </c>
      <c r="H15" s="65">
        <f t="shared" si="16"/>
        <v>28770</v>
      </c>
      <c r="I15" s="65">
        <f t="shared" si="5"/>
        <v>2546</v>
      </c>
      <c r="J15" s="65">
        <f t="shared" si="6"/>
        <v>0</v>
      </c>
      <c r="K15" s="65">
        <f t="shared" si="0"/>
        <v>0</v>
      </c>
      <c r="L15" s="65">
        <f t="shared" si="7"/>
        <v>0</v>
      </c>
      <c r="M15" s="65">
        <f t="shared" si="8"/>
        <v>0</v>
      </c>
      <c r="N15" s="66">
        <f t="shared" si="9"/>
        <v>56776</v>
      </c>
      <c r="O15" s="65">
        <f t="shared" si="1"/>
        <v>3300</v>
      </c>
      <c r="P15" s="65">
        <f t="shared" si="17"/>
        <v>0</v>
      </c>
      <c r="Q15" s="65">
        <f t="shared" si="10"/>
        <v>0</v>
      </c>
      <c r="R15" s="65">
        <f t="shared" si="11"/>
        <v>0</v>
      </c>
      <c r="S15" s="65">
        <f t="shared" si="18"/>
        <v>1550</v>
      </c>
      <c r="T15" s="65">
        <f t="shared" si="19"/>
        <v>0</v>
      </c>
      <c r="U15" s="65">
        <f>IF($AA$2="No",IF(D15&lt;7001,170,IF(D15&lt;13001,282,IF(D15&lt;21001,424,565))),0)</f>
        <v>565</v>
      </c>
      <c r="V15" s="65">
        <f t="shared" si="20"/>
        <v>0</v>
      </c>
      <c r="W15" s="65">
        <f t="shared" si="21"/>
        <v>5643</v>
      </c>
      <c r="X15" s="65">
        <v>0</v>
      </c>
      <c r="Y15" s="65">
        <f t="shared" si="13"/>
        <v>0</v>
      </c>
      <c r="Z15" s="65">
        <f t="shared" si="13"/>
        <v>0</v>
      </c>
      <c r="AA15" s="65">
        <f t="shared" si="22"/>
        <v>2500</v>
      </c>
      <c r="AB15" s="67">
        <f t="shared" si="2"/>
        <v>13558</v>
      </c>
      <c r="AC15" s="68">
        <f t="shared" si="3"/>
        <v>43218</v>
      </c>
      <c r="AD15" s="65" t="s">
        <v>180</v>
      </c>
      <c r="AE15" s="23"/>
    </row>
    <row r="16" spans="1:31" s="39" customFormat="1" ht="17.100000000000001" customHeight="1">
      <c r="A16" s="104"/>
      <c r="B16" s="23">
        <v>9</v>
      </c>
      <c r="C16" s="35">
        <v>42248</v>
      </c>
      <c r="D16" s="65">
        <f t="shared" si="23"/>
        <v>25460</v>
      </c>
      <c r="E16" s="65">
        <f t="shared" si="15"/>
        <v>0</v>
      </c>
      <c r="F16" s="65">
        <f t="shared" si="4"/>
        <v>0</v>
      </c>
      <c r="G16" s="65">
        <f t="shared" si="4"/>
        <v>0</v>
      </c>
      <c r="H16" s="65">
        <f>ROUND(119%*D16,0)</f>
        <v>30297</v>
      </c>
      <c r="I16" s="65">
        <f t="shared" si="5"/>
        <v>2546</v>
      </c>
      <c r="J16" s="65">
        <f t="shared" si="6"/>
        <v>0</v>
      </c>
      <c r="K16" s="65">
        <f t="shared" si="0"/>
        <v>0</v>
      </c>
      <c r="L16" s="65">
        <f t="shared" si="7"/>
        <v>0</v>
      </c>
      <c r="M16" s="65">
        <f t="shared" si="8"/>
        <v>0</v>
      </c>
      <c r="N16" s="66">
        <f t="shared" si="9"/>
        <v>58303</v>
      </c>
      <c r="O16" s="65">
        <f t="shared" si="1"/>
        <v>3300</v>
      </c>
      <c r="P16" s="65">
        <f t="shared" si="17"/>
        <v>0</v>
      </c>
      <c r="Q16" s="65">
        <f t="shared" si="10"/>
        <v>0</v>
      </c>
      <c r="R16" s="65">
        <f t="shared" si="11"/>
        <v>0</v>
      </c>
      <c r="S16" s="65">
        <f t="shared" si="18"/>
        <v>1550</v>
      </c>
      <c r="T16" s="65">
        <f t="shared" si="19"/>
        <v>0</v>
      </c>
      <c r="U16" s="65">
        <f>IF($AA$2="No",IF(D16&lt;7001,170,IF(D16&lt;13001,282,IF(D16&lt;21001,424,565))),0)</f>
        <v>565</v>
      </c>
      <c r="V16" s="65">
        <f t="shared" si="20"/>
        <v>0</v>
      </c>
      <c r="W16" s="65">
        <f t="shared" si="21"/>
        <v>5643</v>
      </c>
      <c r="X16" s="65">
        <v>0</v>
      </c>
      <c r="Y16" s="65">
        <f t="shared" si="13"/>
        <v>0</v>
      </c>
      <c r="Z16" s="65">
        <f t="shared" si="13"/>
        <v>0</v>
      </c>
      <c r="AA16" s="65">
        <f t="shared" si="22"/>
        <v>2500</v>
      </c>
      <c r="AB16" s="67">
        <f t="shared" si="2"/>
        <v>13558</v>
      </c>
      <c r="AC16" s="68">
        <f t="shared" si="3"/>
        <v>44745</v>
      </c>
      <c r="AD16" s="65" t="s">
        <v>181</v>
      </c>
      <c r="AE16" s="23"/>
    </row>
    <row r="17" spans="1:31" s="39" customFormat="1" ht="17.100000000000001" customHeight="1">
      <c r="A17" s="104"/>
      <c r="B17" s="23">
        <v>10</v>
      </c>
      <c r="C17" s="35">
        <v>42278</v>
      </c>
      <c r="D17" s="65">
        <f t="shared" si="23"/>
        <v>25460</v>
      </c>
      <c r="E17" s="65">
        <f t="shared" si="15"/>
        <v>0</v>
      </c>
      <c r="F17" s="65">
        <f>IF(F$10=0,0,F16)</f>
        <v>0</v>
      </c>
      <c r="G17" s="65">
        <f t="shared" ref="G17:G21" si="24">IF(G$10=0,0,G16)</f>
        <v>0</v>
      </c>
      <c r="H17" s="65">
        <f t="shared" ref="H17:H21" si="25">ROUND(119%*D17,0)</f>
        <v>30297</v>
      </c>
      <c r="I17" s="65">
        <f t="shared" si="5"/>
        <v>2546</v>
      </c>
      <c r="J17" s="65">
        <f t="shared" si="6"/>
        <v>0</v>
      </c>
      <c r="K17" s="65">
        <f t="shared" si="0"/>
        <v>0</v>
      </c>
      <c r="L17" s="65">
        <f t="shared" si="7"/>
        <v>0</v>
      </c>
      <c r="M17" s="65">
        <f t="shared" si="8"/>
        <v>0</v>
      </c>
      <c r="N17" s="66">
        <f t="shared" si="9"/>
        <v>58303</v>
      </c>
      <c r="O17" s="65">
        <f t="shared" si="1"/>
        <v>3300</v>
      </c>
      <c r="P17" s="65">
        <f t="shared" si="17"/>
        <v>0</v>
      </c>
      <c r="Q17" s="65">
        <f t="shared" si="10"/>
        <v>0</v>
      </c>
      <c r="R17" s="65">
        <f t="shared" si="11"/>
        <v>0</v>
      </c>
      <c r="S17" s="65">
        <f t="shared" si="18"/>
        <v>1550</v>
      </c>
      <c r="T17" s="65">
        <f t="shared" si="19"/>
        <v>0</v>
      </c>
      <c r="U17" s="65">
        <f>IF($AA$2="No",IF(D17&lt;7001,179,IF(D17&lt;13001,298,IF(D17&lt;21001,447,595))),0)</f>
        <v>595</v>
      </c>
      <c r="V17" s="65">
        <f t="shared" si="20"/>
        <v>0</v>
      </c>
      <c r="W17" s="65">
        <f t="shared" si="21"/>
        <v>5643</v>
      </c>
      <c r="X17" s="65">
        <v>0</v>
      </c>
      <c r="Y17" s="65">
        <f t="shared" si="13"/>
        <v>0</v>
      </c>
      <c r="Z17" s="65">
        <f t="shared" si="13"/>
        <v>0</v>
      </c>
      <c r="AA17" s="65">
        <f t="shared" si="22"/>
        <v>2500</v>
      </c>
      <c r="AB17" s="67">
        <f t="shared" si="2"/>
        <v>13588</v>
      </c>
      <c r="AC17" s="68">
        <f t="shared" si="3"/>
        <v>44715</v>
      </c>
      <c r="AD17" s="65"/>
      <c r="AE17" s="23"/>
    </row>
    <row r="18" spans="1:31" s="39" customFormat="1" ht="17.100000000000001" customHeight="1">
      <c r="A18" s="104"/>
      <c r="B18" s="23">
        <v>11</v>
      </c>
      <c r="C18" s="35">
        <v>42309</v>
      </c>
      <c r="D18" s="65">
        <f t="shared" si="23"/>
        <v>25460</v>
      </c>
      <c r="E18" s="65">
        <f t="shared" si="15"/>
        <v>0</v>
      </c>
      <c r="F18" s="65">
        <f>IF(F$10=0,0,F17)</f>
        <v>0</v>
      </c>
      <c r="G18" s="65">
        <f t="shared" si="24"/>
        <v>0</v>
      </c>
      <c r="H18" s="65">
        <f t="shared" si="25"/>
        <v>30297</v>
      </c>
      <c r="I18" s="65">
        <f t="shared" si="5"/>
        <v>2546</v>
      </c>
      <c r="J18" s="65">
        <f t="shared" si="6"/>
        <v>0</v>
      </c>
      <c r="K18" s="65">
        <f t="shared" si="0"/>
        <v>0</v>
      </c>
      <c r="L18" s="65">
        <f t="shared" si="7"/>
        <v>0</v>
      </c>
      <c r="M18" s="65">
        <f t="shared" si="8"/>
        <v>0</v>
      </c>
      <c r="N18" s="66">
        <f t="shared" si="9"/>
        <v>58303</v>
      </c>
      <c r="O18" s="65">
        <f t="shared" si="1"/>
        <v>3300</v>
      </c>
      <c r="P18" s="65">
        <f t="shared" si="17"/>
        <v>0</v>
      </c>
      <c r="Q18" s="65">
        <f t="shared" si="10"/>
        <v>0</v>
      </c>
      <c r="R18" s="65">
        <f t="shared" si="11"/>
        <v>0</v>
      </c>
      <c r="S18" s="65">
        <f t="shared" si="18"/>
        <v>1550</v>
      </c>
      <c r="T18" s="65">
        <f t="shared" si="19"/>
        <v>0</v>
      </c>
      <c r="U18" s="65">
        <f t="shared" ref="U18:U21" si="26">IF($AA$2="No",IF(D18&lt;7001,179,IF(D18&lt;13001,298,IF(D18&lt;21001,447,595))),0)</f>
        <v>595</v>
      </c>
      <c r="V18" s="65">
        <f t="shared" si="20"/>
        <v>0</v>
      </c>
      <c r="W18" s="65">
        <f t="shared" si="21"/>
        <v>5643</v>
      </c>
      <c r="X18" s="65">
        <v>0</v>
      </c>
      <c r="Y18" s="65">
        <f t="shared" si="13"/>
        <v>0</v>
      </c>
      <c r="Z18" s="65">
        <f t="shared" si="13"/>
        <v>0</v>
      </c>
      <c r="AA18" s="65">
        <f t="shared" si="22"/>
        <v>2500</v>
      </c>
      <c r="AB18" s="67">
        <f t="shared" si="2"/>
        <v>13588</v>
      </c>
      <c r="AC18" s="68">
        <f t="shared" si="3"/>
        <v>44715</v>
      </c>
      <c r="AD18" s="65"/>
      <c r="AE18" s="23"/>
    </row>
    <row r="19" spans="1:31" s="39" customFormat="1" ht="17.100000000000001" customHeight="1">
      <c r="A19" s="104"/>
      <c r="B19" s="23">
        <v>12</v>
      </c>
      <c r="C19" s="35">
        <v>42339</v>
      </c>
      <c r="D19" s="65">
        <f t="shared" si="23"/>
        <v>25460</v>
      </c>
      <c r="E19" s="65">
        <f t="shared" si="15"/>
        <v>0</v>
      </c>
      <c r="F19" s="65">
        <f>IF(F$10=0,0,F18)</f>
        <v>0</v>
      </c>
      <c r="G19" s="65">
        <f t="shared" si="24"/>
        <v>0</v>
      </c>
      <c r="H19" s="65">
        <f t="shared" si="25"/>
        <v>30297</v>
      </c>
      <c r="I19" s="65">
        <f t="shared" si="5"/>
        <v>2546</v>
      </c>
      <c r="J19" s="65">
        <f t="shared" si="6"/>
        <v>0</v>
      </c>
      <c r="K19" s="65">
        <f t="shared" si="0"/>
        <v>0</v>
      </c>
      <c r="L19" s="65">
        <f t="shared" si="7"/>
        <v>0</v>
      </c>
      <c r="M19" s="65">
        <f t="shared" si="8"/>
        <v>0</v>
      </c>
      <c r="N19" s="66">
        <f t="shared" si="9"/>
        <v>58303</v>
      </c>
      <c r="O19" s="65">
        <f t="shared" si="1"/>
        <v>3300</v>
      </c>
      <c r="P19" s="65">
        <f t="shared" si="17"/>
        <v>0</v>
      </c>
      <c r="Q19" s="65">
        <f t="shared" si="10"/>
        <v>0</v>
      </c>
      <c r="R19" s="65">
        <f t="shared" si="11"/>
        <v>0</v>
      </c>
      <c r="S19" s="65">
        <f t="shared" si="18"/>
        <v>1550</v>
      </c>
      <c r="T19" s="65">
        <f t="shared" si="19"/>
        <v>0</v>
      </c>
      <c r="U19" s="65">
        <f t="shared" si="26"/>
        <v>595</v>
      </c>
      <c r="V19" s="65">
        <f t="shared" si="20"/>
        <v>0</v>
      </c>
      <c r="W19" s="65">
        <f t="shared" si="21"/>
        <v>5643</v>
      </c>
      <c r="X19" s="65">
        <v>0</v>
      </c>
      <c r="Y19" s="65">
        <f t="shared" si="13"/>
        <v>0</v>
      </c>
      <c r="Z19" s="65">
        <f t="shared" si="13"/>
        <v>0</v>
      </c>
      <c r="AA19" s="65">
        <f t="shared" si="22"/>
        <v>2500</v>
      </c>
      <c r="AB19" s="67">
        <f t="shared" si="2"/>
        <v>13588</v>
      </c>
      <c r="AC19" s="68">
        <f t="shared" si="3"/>
        <v>44715</v>
      </c>
      <c r="AD19" s="65"/>
      <c r="AE19" s="23"/>
    </row>
    <row r="20" spans="1:31" s="39" customFormat="1" ht="17.100000000000001" customHeight="1">
      <c r="A20" s="104"/>
      <c r="B20" s="23">
        <v>1</v>
      </c>
      <c r="C20" s="35">
        <v>42370</v>
      </c>
      <c r="D20" s="65">
        <f t="shared" si="23"/>
        <v>25460</v>
      </c>
      <c r="E20" s="65">
        <f t="shared" si="15"/>
        <v>0</v>
      </c>
      <c r="F20" s="65">
        <f>IF(F$10=0,0,F19)</f>
        <v>0</v>
      </c>
      <c r="G20" s="65">
        <f t="shared" si="24"/>
        <v>0</v>
      </c>
      <c r="H20" s="65">
        <f t="shared" si="25"/>
        <v>30297</v>
      </c>
      <c r="I20" s="65">
        <f t="shared" si="5"/>
        <v>2546</v>
      </c>
      <c r="J20" s="65">
        <f t="shared" si="6"/>
        <v>0</v>
      </c>
      <c r="K20" s="65">
        <f t="shared" si="0"/>
        <v>0</v>
      </c>
      <c r="L20" s="65">
        <f t="shared" si="7"/>
        <v>0</v>
      </c>
      <c r="M20" s="65">
        <f t="shared" si="8"/>
        <v>0</v>
      </c>
      <c r="N20" s="66">
        <f t="shared" si="9"/>
        <v>58303</v>
      </c>
      <c r="O20" s="65">
        <f t="shared" si="1"/>
        <v>3300</v>
      </c>
      <c r="P20" s="65">
        <f t="shared" si="17"/>
        <v>0</v>
      </c>
      <c r="Q20" s="65">
        <f t="shared" si="10"/>
        <v>0</v>
      </c>
      <c r="R20" s="65">
        <f t="shared" si="11"/>
        <v>0</v>
      </c>
      <c r="S20" s="65">
        <f t="shared" si="18"/>
        <v>1550</v>
      </c>
      <c r="T20" s="65">
        <f t="shared" si="19"/>
        <v>0</v>
      </c>
      <c r="U20" s="65">
        <f t="shared" si="26"/>
        <v>595</v>
      </c>
      <c r="V20" s="65">
        <f t="shared" si="20"/>
        <v>0</v>
      </c>
      <c r="W20" s="65">
        <f t="shared" si="21"/>
        <v>5643</v>
      </c>
      <c r="X20" s="65">
        <v>0</v>
      </c>
      <c r="Y20" s="65">
        <f t="shared" si="13"/>
        <v>0</v>
      </c>
      <c r="Z20" s="65">
        <f t="shared" si="13"/>
        <v>0</v>
      </c>
      <c r="AA20" s="65">
        <f t="shared" si="22"/>
        <v>2500</v>
      </c>
      <c r="AB20" s="67">
        <f t="shared" si="2"/>
        <v>13588</v>
      </c>
      <c r="AC20" s="68">
        <f t="shared" si="3"/>
        <v>44715</v>
      </c>
      <c r="AD20" s="65"/>
      <c r="AE20" s="23"/>
    </row>
    <row r="21" spans="1:31" s="39" customFormat="1" ht="17.100000000000001" customHeight="1">
      <c r="A21" s="104"/>
      <c r="B21" s="23">
        <v>2</v>
      </c>
      <c r="C21" s="35">
        <v>42401</v>
      </c>
      <c r="D21" s="65">
        <f t="shared" si="23"/>
        <v>25460</v>
      </c>
      <c r="E21" s="65">
        <f t="shared" si="15"/>
        <v>0</v>
      </c>
      <c r="F21" s="65">
        <f>IF(F$10=0,0,F20)</f>
        <v>0</v>
      </c>
      <c r="G21" s="65">
        <f t="shared" si="24"/>
        <v>0</v>
      </c>
      <c r="H21" s="65">
        <f t="shared" si="25"/>
        <v>30297</v>
      </c>
      <c r="I21" s="65">
        <f t="shared" si="5"/>
        <v>2546</v>
      </c>
      <c r="J21" s="65">
        <f t="shared" si="6"/>
        <v>0</v>
      </c>
      <c r="K21" s="65">
        <f t="shared" si="0"/>
        <v>0</v>
      </c>
      <c r="L21" s="65">
        <f t="shared" si="7"/>
        <v>0</v>
      </c>
      <c r="M21" s="65">
        <f t="shared" si="8"/>
        <v>0</v>
      </c>
      <c r="N21" s="66">
        <f t="shared" si="9"/>
        <v>58303</v>
      </c>
      <c r="O21" s="65">
        <f t="shared" si="1"/>
        <v>3300</v>
      </c>
      <c r="P21" s="65">
        <f t="shared" si="17"/>
        <v>0</v>
      </c>
      <c r="Q21" s="65">
        <f t="shared" si="10"/>
        <v>0</v>
      </c>
      <c r="R21" s="65">
        <f t="shared" si="11"/>
        <v>0</v>
      </c>
      <c r="S21" s="65">
        <f t="shared" si="18"/>
        <v>1550</v>
      </c>
      <c r="T21" s="65">
        <f t="shared" si="19"/>
        <v>0</v>
      </c>
      <c r="U21" s="65">
        <f t="shared" si="26"/>
        <v>595</v>
      </c>
      <c r="V21" s="65">
        <f t="shared" si="20"/>
        <v>0</v>
      </c>
      <c r="W21" s="65">
        <f t="shared" si="21"/>
        <v>5643</v>
      </c>
      <c r="X21" s="65">
        <v>0</v>
      </c>
      <c r="Y21" s="65">
        <f t="shared" si="13"/>
        <v>0</v>
      </c>
      <c r="Z21" s="65">
        <f t="shared" si="13"/>
        <v>0</v>
      </c>
      <c r="AA21" s="65">
        <f t="shared" si="22"/>
        <v>2500</v>
      </c>
      <c r="AB21" s="67">
        <f t="shared" si="2"/>
        <v>13588</v>
      </c>
      <c r="AC21" s="68">
        <f t="shared" si="3"/>
        <v>44715</v>
      </c>
      <c r="AD21" s="65"/>
      <c r="AE21" s="23"/>
    </row>
    <row r="22" spans="1:31" s="39" customFormat="1" ht="17.100000000000001" customHeight="1">
      <c r="A22" s="104"/>
      <c r="B22" s="23"/>
      <c r="C22" s="25" t="s">
        <v>149</v>
      </c>
      <c r="D22" s="65"/>
      <c r="E22" s="65"/>
      <c r="F22" s="65"/>
      <c r="G22" s="65"/>
      <c r="H22" s="65">
        <f>ROUND(D10*0.06,0)*3</f>
        <v>4449</v>
      </c>
      <c r="I22" s="65"/>
      <c r="J22" s="65"/>
      <c r="K22" s="65">
        <f t="shared" si="0"/>
        <v>0</v>
      </c>
      <c r="L22" s="65"/>
      <c r="M22" s="65"/>
      <c r="N22" s="66">
        <f t="shared" si="9"/>
        <v>4449</v>
      </c>
      <c r="O22" s="65">
        <f>IF($AA$2="No",H22,0)</f>
        <v>4449</v>
      </c>
      <c r="P22" s="65"/>
      <c r="Q22" s="65">
        <f>IF($AA$2="Yes",K22,0)</f>
        <v>0</v>
      </c>
      <c r="R22" s="65">
        <f>IF($AA$2="Yes",K22,0)</f>
        <v>0</v>
      </c>
      <c r="S22" s="65">
        <v>0</v>
      </c>
      <c r="T22" s="65"/>
      <c r="U22" s="65"/>
      <c r="V22" s="65"/>
      <c r="W22" s="65">
        <v>0</v>
      </c>
      <c r="X22" s="65"/>
      <c r="Y22" s="65"/>
      <c r="Z22" s="65"/>
      <c r="AA22" s="65"/>
      <c r="AB22" s="67">
        <f t="shared" si="2"/>
        <v>4449</v>
      </c>
      <c r="AC22" s="68">
        <f t="shared" si="3"/>
        <v>0</v>
      </c>
      <c r="AD22" s="65" t="s">
        <v>182</v>
      </c>
      <c r="AE22" s="23"/>
    </row>
    <row r="23" spans="1:31" s="39" customFormat="1" ht="17.100000000000001" customHeight="1">
      <c r="A23" s="104"/>
      <c r="B23" s="23"/>
      <c r="C23" s="25" t="s">
        <v>159</v>
      </c>
      <c r="D23" s="65"/>
      <c r="E23" s="65"/>
      <c r="F23" s="65"/>
      <c r="G23" s="65"/>
      <c r="H23" s="65">
        <f>(ROUND(D14*0.06,0)*2)+IF(L3="NO",0,IF(AND(Y3&gt;6,Y3&lt;9),ROUND(D24*0.06,0),0))</f>
        <v>3056</v>
      </c>
      <c r="I23" s="65"/>
      <c r="J23" s="65"/>
      <c r="K23" s="65">
        <f t="shared" si="0"/>
        <v>0</v>
      </c>
      <c r="L23" s="65"/>
      <c r="M23" s="65"/>
      <c r="N23" s="66">
        <f>SUM(D23:M23)</f>
        <v>3056</v>
      </c>
      <c r="O23" s="65">
        <f>IF($AA$2="No",H23,0)</f>
        <v>3056</v>
      </c>
      <c r="P23" s="65"/>
      <c r="Q23" s="65">
        <f>IF($AA$2="Yes",K23,0)</f>
        <v>0</v>
      </c>
      <c r="R23" s="65">
        <f>IF($AA$2="Yes",K23,0)</f>
        <v>0</v>
      </c>
      <c r="S23" s="65"/>
      <c r="T23" s="65"/>
      <c r="U23" s="65"/>
      <c r="V23" s="65"/>
      <c r="W23" s="65"/>
      <c r="X23" s="65"/>
      <c r="Y23" s="65"/>
      <c r="Z23" s="65"/>
      <c r="AA23" s="65"/>
      <c r="AB23" s="67">
        <f t="shared" si="2"/>
        <v>3056</v>
      </c>
      <c r="AC23" s="68">
        <f t="shared" si="3"/>
        <v>0</v>
      </c>
      <c r="AD23" s="65"/>
      <c r="AE23" s="23"/>
    </row>
    <row r="24" spans="1:31" s="39" customFormat="1" ht="17.100000000000001" customHeight="1">
      <c r="A24" s="104"/>
      <c r="B24" s="23"/>
      <c r="C24" s="25" t="s">
        <v>98</v>
      </c>
      <c r="D24" s="65">
        <f>IF(L3="NO",0,IF(Y3=3,D21,VLOOKUP(Y3,B10:D21,3,FALSE)))/2</f>
        <v>12730</v>
      </c>
      <c r="E24" s="65"/>
      <c r="F24" s="65"/>
      <c r="G24" s="65"/>
      <c r="H24" s="65">
        <f>IF(AND(Y3&gt;3,Y3&lt;9),ROUND(113%*D24,0),ROUND(119%*D24,0))</f>
        <v>15149</v>
      </c>
      <c r="I24" s="65"/>
      <c r="J24" s="65"/>
      <c r="K24" s="65"/>
      <c r="L24" s="65"/>
      <c r="M24" s="65"/>
      <c r="N24" s="66">
        <f>SUM(D24:M24)</f>
        <v>27879</v>
      </c>
      <c r="O24" s="65"/>
      <c r="P24" s="65"/>
      <c r="Q24" s="65">
        <f t="shared" si="10"/>
        <v>0</v>
      </c>
      <c r="R24" s="65">
        <f t="shared" si="11"/>
        <v>0</v>
      </c>
      <c r="S24" s="65"/>
      <c r="T24" s="65"/>
      <c r="U24" s="65"/>
      <c r="V24" s="65"/>
      <c r="W24" s="65"/>
      <c r="X24" s="65"/>
      <c r="Y24" s="65"/>
      <c r="Z24" s="65"/>
      <c r="AA24" s="65"/>
      <c r="AB24" s="67">
        <f t="shared" si="2"/>
        <v>0</v>
      </c>
      <c r="AC24" s="68">
        <f t="shared" si="3"/>
        <v>27879</v>
      </c>
      <c r="AD24" s="65"/>
      <c r="AE24" s="23"/>
    </row>
    <row r="25" spans="1:31" s="39" customFormat="1" ht="17.100000000000001" customHeight="1">
      <c r="A25" s="104"/>
      <c r="B25" s="23"/>
      <c r="C25" s="25" t="s">
        <v>99</v>
      </c>
      <c r="D25" s="65">
        <v>3387</v>
      </c>
      <c r="E25" s="65"/>
      <c r="F25" s="65"/>
      <c r="G25" s="65"/>
      <c r="H25" s="65"/>
      <c r="I25" s="65"/>
      <c r="J25" s="65"/>
      <c r="K25" s="65"/>
      <c r="L25" s="65"/>
      <c r="M25" s="65"/>
      <c r="N25" s="66">
        <f t="shared" ref="N25:N28" si="27">SUM(D25:M25)</f>
        <v>3387</v>
      </c>
      <c r="O25" s="65"/>
      <c r="P25" s="65"/>
      <c r="Q25" s="65">
        <f t="shared" si="10"/>
        <v>0</v>
      </c>
      <c r="R25" s="65">
        <f t="shared" si="11"/>
        <v>0</v>
      </c>
      <c r="S25" s="65"/>
      <c r="T25" s="65"/>
      <c r="U25" s="65"/>
      <c r="V25" s="65"/>
      <c r="W25" s="65"/>
      <c r="X25" s="65"/>
      <c r="Y25" s="65"/>
      <c r="Z25" s="65"/>
      <c r="AA25" s="65"/>
      <c r="AB25" s="67">
        <f t="shared" si="2"/>
        <v>0</v>
      </c>
      <c r="AC25" s="68">
        <f t="shared" si="3"/>
        <v>3387</v>
      </c>
      <c r="AD25" s="65"/>
      <c r="AE25" s="23"/>
    </row>
    <row r="26" spans="1:31" s="39" customFormat="1" ht="17.100000000000001" customHeight="1">
      <c r="A26" s="104"/>
      <c r="B26" s="23"/>
      <c r="C26" s="25" t="s">
        <v>118</v>
      </c>
      <c r="D26" s="65"/>
      <c r="E26" s="65"/>
      <c r="F26" s="65"/>
      <c r="G26" s="65"/>
      <c r="H26" s="65"/>
      <c r="I26" s="65">
        <f t="shared" ref="I26:I28" si="28">IF(I$10=0,0,ROUND(0.1*D26,0))</f>
        <v>0</v>
      </c>
      <c r="J26" s="65"/>
      <c r="K26" s="65">
        <f>IF($AA$2="Yes",ROUND((D26+H26)*0.1,0),0)</f>
        <v>0</v>
      </c>
      <c r="L26" s="65"/>
      <c r="M26" s="65"/>
      <c r="N26" s="66">
        <f t="shared" si="27"/>
        <v>0</v>
      </c>
      <c r="O26" s="65"/>
      <c r="P26" s="65"/>
      <c r="Q26" s="65">
        <f>IF($AA$2="Yes",K26,0)</f>
        <v>0</v>
      </c>
      <c r="R26" s="65">
        <f>IF($AA$2="Yes",K26,0)</f>
        <v>0</v>
      </c>
      <c r="S26" s="65"/>
      <c r="T26" s="65"/>
      <c r="U26" s="65"/>
      <c r="V26" s="65"/>
      <c r="W26" s="65"/>
      <c r="X26" s="65"/>
      <c r="Y26" s="65"/>
      <c r="Z26" s="65"/>
      <c r="AA26" s="65"/>
      <c r="AB26" s="67">
        <f t="shared" si="2"/>
        <v>0</v>
      </c>
      <c r="AC26" s="68">
        <f t="shared" si="3"/>
        <v>0</v>
      </c>
      <c r="AD26" s="65"/>
      <c r="AE26" s="23"/>
    </row>
    <row r="27" spans="1:31" s="39" customFormat="1" ht="17.100000000000001" customHeight="1">
      <c r="A27" s="104"/>
      <c r="B27" s="23"/>
      <c r="C27" s="25" t="s">
        <v>125</v>
      </c>
      <c r="D27" s="65"/>
      <c r="E27" s="65"/>
      <c r="F27" s="65"/>
      <c r="G27" s="65"/>
      <c r="H27" s="65"/>
      <c r="I27" s="65">
        <f t="shared" si="28"/>
        <v>0</v>
      </c>
      <c r="J27" s="65"/>
      <c r="K27" s="65">
        <f>IF($AA$2="Yes",ROUND((D27+H27)*0.1,0),0)</f>
        <v>0</v>
      </c>
      <c r="L27" s="65"/>
      <c r="M27" s="65"/>
      <c r="N27" s="66">
        <f t="shared" si="27"/>
        <v>0</v>
      </c>
      <c r="O27" s="65"/>
      <c r="P27" s="65"/>
      <c r="Q27" s="65">
        <f>IF($AA$2="Yes",K27,0)</f>
        <v>0</v>
      </c>
      <c r="R27" s="65">
        <f>IF($AA$2="Yes",K27,0)</f>
        <v>0</v>
      </c>
      <c r="S27" s="65"/>
      <c r="T27" s="65"/>
      <c r="U27" s="65"/>
      <c r="V27" s="65"/>
      <c r="W27" s="65"/>
      <c r="X27" s="65"/>
      <c r="Y27" s="65"/>
      <c r="Z27" s="65"/>
      <c r="AA27" s="65">
        <f t="shared" ref="AA27:AA28" si="29">ROUNDUP((N27-K27)*0.1,-1)</f>
        <v>0</v>
      </c>
      <c r="AB27" s="67">
        <f t="shared" si="2"/>
        <v>0</v>
      </c>
      <c r="AC27" s="68">
        <f t="shared" si="3"/>
        <v>0</v>
      </c>
      <c r="AD27" s="65"/>
      <c r="AE27" s="23"/>
    </row>
    <row r="28" spans="1:31" s="39" customFormat="1" ht="17.100000000000001" customHeight="1">
      <c r="A28" s="104"/>
      <c r="B28" s="23"/>
      <c r="C28" s="25" t="s">
        <v>126</v>
      </c>
      <c r="D28" s="65"/>
      <c r="E28" s="65">
        <v>0</v>
      </c>
      <c r="F28" s="65">
        <v>0</v>
      </c>
      <c r="G28" s="65"/>
      <c r="H28" s="65"/>
      <c r="I28" s="65">
        <f t="shared" si="28"/>
        <v>0</v>
      </c>
      <c r="J28" s="65"/>
      <c r="K28" s="65">
        <f>IF($AA$2="Yes",ROUND((D28+H28)*0.1,0),0)</f>
        <v>0</v>
      </c>
      <c r="L28" s="65"/>
      <c r="M28" s="65"/>
      <c r="N28" s="66">
        <f t="shared" si="27"/>
        <v>0</v>
      </c>
      <c r="O28" s="65"/>
      <c r="P28" s="65"/>
      <c r="Q28" s="65">
        <f>IF($AA$2="Yes",K28,0)</f>
        <v>0</v>
      </c>
      <c r="R28" s="65">
        <f>IF($AA$2="Yes",K28,0)</f>
        <v>0</v>
      </c>
      <c r="S28" s="65"/>
      <c r="T28" s="65"/>
      <c r="U28" s="65"/>
      <c r="V28" s="65"/>
      <c r="W28" s="65"/>
      <c r="X28" s="65"/>
      <c r="Y28" s="65"/>
      <c r="Z28" s="65"/>
      <c r="AA28" s="65">
        <f t="shared" si="29"/>
        <v>0</v>
      </c>
      <c r="AB28" s="67">
        <f t="shared" si="2"/>
        <v>0</v>
      </c>
      <c r="AC28" s="68">
        <f t="shared" si="3"/>
        <v>0</v>
      </c>
      <c r="AD28" s="65"/>
      <c r="AE28" s="23"/>
    </row>
    <row r="29" spans="1:31" s="40" customFormat="1" ht="70.5" customHeight="1">
      <c r="A29" s="105"/>
      <c r="B29" s="26"/>
      <c r="C29" s="24" t="s">
        <v>75</v>
      </c>
      <c r="D29" s="70">
        <f>SUM(D10:D28)</f>
        <v>318637</v>
      </c>
      <c r="E29" s="70">
        <f t="shared" ref="E29:AC29" si="30">SUM(E10:E28)</f>
        <v>0</v>
      </c>
      <c r="F29" s="70">
        <f t="shared" si="30"/>
        <v>0</v>
      </c>
      <c r="G29" s="70">
        <f t="shared" si="30"/>
        <v>0</v>
      </c>
      <c r="H29" s="70">
        <f t="shared" si="30"/>
        <v>372182</v>
      </c>
      <c r="I29" s="70">
        <f t="shared" si="30"/>
        <v>30252</v>
      </c>
      <c r="J29" s="70">
        <f t="shared" si="30"/>
        <v>0</v>
      </c>
      <c r="K29" s="70">
        <f t="shared" si="30"/>
        <v>0</v>
      </c>
      <c r="L29" s="70">
        <f t="shared" si="30"/>
        <v>0</v>
      </c>
      <c r="M29" s="70">
        <f t="shared" si="30"/>
        <v>0</v>
      </c>
      <c r="N29" s="70">
        <f t="shared" si="30"/>
        <v>721071</v>
      </c>
      <c r="O29" s="70">
        <f t="shared" si="30"/>
        <v>47105</v>
      </c>
      <c r="P29" s="70">
        <f t="shared" si="30"/>
        <v>0</v>
      </c>
      <c r="Q29" s="70">
        <f t="shared" si="30"/>
        <v>0</v>
      </c>
      <c r="R29" s="70">
        <f t="shared" si="30"/>
        <v>0</v>
      </c>
      <c r="S29" s="70">
        <f t="shared" si="30"/>
        <v>18600</v>
      </c>
      <c r="T29" s="70">
        <f t="shared" si="30"/>
        <v>0</v>
      </c>
      <c r="U29" s="70">
        <f t="shared" si="30"/>
        <v>6870</v>
      </c>
      <c r="V29" s="70">
        <f t="shared" si="30"/>
        <v>0</v>
      </c>
      <c r="W29" s="70">
        <f t="shared" si="30"/>
        <v>67716</v>
      </c>
      <c r="X29" s="70">
        <f t="shared" si="30"/>
        <v>247.19</v>
      </c>
      <c r="Y29" s="70">
        <f t="shared" si="30"/>
        <v>0</v>
      </c>
      <c r="Z29" s="70">
        <f t="shared" si="30"/>
        <v>0</v>
      </c>
      <c r="AA29" s="70">
        <f t="shared" si="30"/>
        <v>30000</v>
      </c>
      <c r="AB29" s="70">
        <f t="shared" si="30"/>
        <v>170538.19</v>
      </c>
      <c r="AC29" s="70">
        <f t="shared" si="30"/>
        <v>550532.81000000006</v>
      </c>
      <c r="AD29" s="70"/>
      <c r="AE29" s="26"/>
    </row>
    <row r="30" spans="1:31" s="41" customFormat="1">
      <c r="A30" s="106"/>
      <c r="B30" s="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7"/>
    </row>
    <row r="31" spans="1:31" s="41" customFormat="1">
      <c r="A31" s="106"/>
      <c r="B31" s="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7"/>
    </row>
    <row r="32" spans="1:31" s="41" customFormat="1">
      <c r="A32" s="106"/>
      <c r="B32" s="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7"/>
    </row>
    <row r="33" spans="3:31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6"/>
    </row>
    <row r="34" spans="3:31">
      <c r="C34" s="3"/>
      <c r="D34" s="3"/>
      <c r="E34" s="43" t="s">
        <v>76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43" t="s">
        <v>77</v>
      </c>
      <c r="AD34" s="3"/>
      <c r="AE34" s="6"/>
    </row>
    <row r="35" spans="3:31" hidden="1"/>
    <row r="36" spans="3:31" hidden="1"/>
    <row r="37" spans="3:31" hidden="1"/>
    <row r="38" spans="3:31" hidden="1"/>
    <row r="39" spans="3:31" hidden="1"/>
    <row r="40" spans="3:31" hidden="1"/>
    <row r="41" spans="3:31" hidden="1"/>
    <row r="42" spans="3:31" hidden="1"/>
    <row r="43" spans="3:31" hidden="1"/>
    <row r="44" spans="3:31" hidden="1"/>
    <row r="45" spans="3:31" hidden="1"/>
    <row r="46" spans="3:31" hidden="1"/>
    <row r="47" spans="3:31" hidden="1"/>
    <row r="48" spans="3:31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</sheetData>
  <sheetProtection password="CF11" sheet="1" objects="1" scenarios="1" selectLockedCells="1"/>
  <customSheetViews>
    <customSheetView guid="{01E6FF9C-BB30-4C32-9D09-6DB93F11503E}" scale="89" hiddenRows="1" hiddenColumns="1" topLeftCell="C1">
      <selection activeCell="AC5" sqref="AC5:AC21"/>
      <pageMargins left="0.23622047244094491" right="0.19685039370078741" top="0.59055118110236227" bottom="0.59055118110236227" header="0.51181102362204722" footer="0.51181102362204722"/>
      <pageSetup paperSize="9" scale="86" orientation="landscape" r:id="rId1"/>
      <headerFooter alignWithMargins="0"/>
    </customSheetView>
    <customSheetView guid="{483AFC7C-A53B-4837-A853-31CBC6C9ED1B}" scale="89" hiddenRows="1" hiddenColumns="1">
      <selection activeCell="T7" sqref="T6:T7"/>
      <pageMargins left="0.23622047244094491" right="0.19685039370078741" top="0.59055118110236227" bottom="0.59055118110236227" header="0.51181102362204722" footer="0.51181102362204722"/>
      <pageSetup paperSize="9" scale="86" orientation="landscape" r:id="rId2"/>
      <headerFooter alignWithMargins="0"/>
    </customSheetView>
  </customSheetViews>
  <mergeCells count="15">
    <mergeCell ref="AA2:AB2"/>
    <mergeCell ref="N3:V3"/>
    <mergeCell ref="D8:I8"/>
    <mergeCell ref="U8:Y8"/>
    <mergeCell ref="D2:Y2"/>
    <mergeCell ref="C5:AD5"/>
    <mergeCell ref="C6:AD6"/>
    <mergeCell ref="S8:T8"/>
    <mergeCell ref="J8:K8"/>
    <mergeCell ref="L8:O8"/>
    <mergeCell ref="AC8:AD8"/>
    <mergeCell ref="AA8:AB8"/>
    <mergeCell ref="D3:K3"/>
    <mergeCell ref="L3:M3"/>
    <mergeCell ref="Y3:Z3"/>
  </mergeCells>
  <phoneticPr fontId="0" type="noConversion"/>
  <conditionalFormatting sqref="D10:AA28">
    <cfRule type="cellIs" dxfId="3" priority="5" stopIfTrue="1" operator="equal">
      <formula>0</formula>
    </cfRule>
  </conditionalFormatting>
  <dataValidations count="2">
    <dataValidation type="list" allowBlank="1" showInputMessage="1" showErrorMessage="1" sqref="AA2 L3:L4 AB4">
      <formula1>"Yes,No"</formula1>
    </dataValidation>
    <dataValidation type="list" allowBlank="1" showInputMessage="1" showErrorMessage="1" sqref="V4:W4 Y3:Z3">
      <formula1>"4,5,6,7,8,9,10,11,12,1,2,3"</formula1>
    </dataValidation>
  </dataValidations>
  <printOptions horizontalCentered="1"/>
  <pageMargins left="0.15748031496062992" right="0.15748031496062992" top="0.43307086614173229" bottom="0.59055118110236227" header="0.35433070866141736" footer="0.51181102362204722"/>
  <pageSetup paperSize="9" scale="78" orientation="landscape" r:id="rId3"/>
  <headerFooter alignWithMargins="0"/>
  <ignoredErrors>
    <ignoredError sqref="D14" formula="1"/>
  </ignoredErrors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DR574"/>
  <sheetViews>
    <sheetView workbookViewId="0">
      <selection activeCell="B8" sqref="B8"/>
    </sheetView>
  </sheetViews>
  <sheetFormatPr defaultColWidth="0" defaultRowHeight="15.75" zeroHeight="1"/>
  <cols>
    <col min="1" max="1" width="59.28515625" style="1" customWidth="1"/>
    <col min="2" max="2" width="14.42578125" style="1" customWidth="1"/>
    <col min="3" max="3" width="0.5703125" style="1" customWidth="1"/>
    <col min="4" max="4" width="62.7109375" style="1" customWidth="1"/>
    <col min="5" max="5" width="14.42578125" style="1" customWidth="1"/>
    <col min="6" max="6" width="17.5703125" style="89" customWidth="1"/>
    <col min="7" max="7" width="15.140625" style="1" hidden="1" customWidth="1"/>
    <col min="8" max="8" width="7.28515625" style="1" hidden="1" customWidth="1"/>
    <col min="9" max="9" width="5.7109375" style="1" hidden="1" customWidth="1"/>
    <col min="10" max="11" width="7.140625" style="1" hidden="1" customWidth="1"/>
    <col min="12" max="12" width="7.7109375" style="1" hidden="1" customWidth="1"/>
    <col min="13" max="13" width="8.28515625" style="1" hidden="1" customWidth="1"/>
    <col min="14" max="14" width="7.85546875" style="1" hidden="1" customWidth="1"/>
    <col min="15" max="16" width="5.140625" style="1" hidden="1" customWidth="1"/>
    <col min="17" max="17" width="7.5703125" style="1" hidden="1" customWidth="1"/>
    <col min="18" max="18" width="7.140625" style="1" hidden="1" customWidth="1"/>
    <col min="19" max="19" width="5.140625" style="1" hidden="1" customWidth="1"/>
    <col min="20" max="20" width="8.85546875" style="1" hidden="1" customWidth="1"/>
    <col min="21" max="21" width="0" style="1" hidden="1" customWidth="1"/>
    <col min="22" max="22" width="5.140625" style="1" hidden="1" customWidth="1"/>
    <col min="23" max="23" width="5.7109375" style="1" hidden="1" customWidth="1"/>
    <col min="24" max="24" width="6" style="1" hidden="1" customWidth="1"/>
    <col min="25" max="25" width="8" style="1" hidden="1" customWidth="1"/>
    <col min="26" max="26" width="7" style="1" hidden="1" customWidth="1"/>
    <col min="27" max="27" width="5.140625" style="1" hidden="1" customWidth="1"/>
    <col min="28" max="29" width="11.140625" style="1" hidden="1" customWidth="1"/>
    <col min="30" max="30" width="5.28515625" style="1" hidden="1" customWidth="1"/>
    <col min="31" max="31" width="8.28515625" style="1" hidden="1" customWidth="1"/>
    <col min="32" max="33" width="5.28515625" style="1" hidden="1" customWidth="1"/>
    <col min="34" max="34" width="8.28515625" style="1" hidden="1" customWidth="1"/>
    <col min="35" max="35" width="5.140625" style="1" hidden="1" customWidth="1"/>
    <col min="36" max="37" width="9.5703125" style="1" hidden="1" customWidth="1"/>
    <col min="38" max="38" width="10.5703125" style="1" hidden="1" customWidth="1"/>
    <col min="39" max="39" width="5.140625" style="1" hidden="1" customWidth="1"/>
    <col min="40" max="40" width="7.28515625" style="1" hidden="1" customWidth="1"/>
    <col min="41" max="41" width="7.7109375" style="1" hidden="1" customWidth="1"/>
    <col min="42" max="42" width="5.140625" style="1" hidden="1" customWidth="1"/>
    <col min="43" max="43" width="8" style="1" hidden="1" customWidth="1"/>
    <col min="44" max="44" width="11.42578125" style="1" hidden="1" customWidth="1"/>
    <col min="45" max="45" width="14.28515625" style="1" hidden="1" customWidth="1"/>
    <col min="46" max="46" width="9" style="1" hidden="1" customWidth="1"/>
    <col min="47" max="47" width="5.85546875" style="1" hidden="1" customWidth="1"/>
    <col min="48" max="48" width="7.5703125" style="1" hidden="1" customWidth="1"/>
    <col min="49" max="49" width="13.140625" style="1" hidden="1" customWidth="1"/>
    <col min="50" max="50" width="7.5703125" style="1" hidden="1" customWidth="1"/>
    <col min="51" max="51" width="13.140625" style="1" hidden="1" customWidth="1"/>
    <col min="52" max="52" width="7.5703125" style="1" hidden="1" customWidth="1"/>
    <col min="53" max="53" width="13.140625" style="1" hidden="1" customWidth="1"/>
    <col min="54" max="54" width="7.5703125" style="1" hidden="1" customWidth="1"/>
    <col min="55" max="55" width="13.140625" style="1" hidden="1" customWidth="1"/>
    <col min="56" max="56" width="7.5703125" style="1" hidden="1" customWidth="1"/>
    <col min="57" max="57" width="13.140625" style="1" hidden="1" customWidth="1"/>
    <col min="58" max="58" width="7.5703125" style="1" hidden="1" customWidth="1"/>
    <col min="59" max="59" width="13.140625" style="1" hidden="1" customWidth="1"/>
    <col min="60" max="60" width="7.5703125" style="1" hidden="1" customWidth="1"/>
    <col min="61" max="61" width="13.140625" style="1" hidden="1" customWidth="1"/>
    <col min="62" max="62" width="7.5703125" style="1" hidden="1" customWidth="1"/>
    <col min="63" max="63" width="13.140625" style="1" hidden="1" customWidth="1"/>
    <col min="64" max="64" width="5.140625" style="1" hidden="1" customWidth="1"/>
    <col min="65" max="65" width="7.140625" style="1" hidden="1" customWidth="1"/>
    <col min="66" max="66" width="6.7109375" style="1" hidden="1" customWidth="1"/>
    <col min="67" max="67" width="5.140625" style="1" hidden="1" customWidth="1"/>
    <col min="68" max="69" width="7.7109375" style="1" hidden="1" customWidth="1"/>
    <col min="70" max="71" width="7.28515625" style="1" hidden="1" customWidth="1"/>
    <col min="72" max="72" width="9.7109375" style="1" hidden="1" customWidth="1"/>
    <col min="73" max="73" width="9.28515625" style="1" hidden="1" customWidth="1"/>
    <col min="74" max="74" width="7.7109375" style="1" hidden="1" customWidth="1"/>
    <col min="75" max="75" width="7.85546875" style="1" hidden="1" customWidth="1"/>
    <col min="76" max="76" width="9.28515625" style="1" hidden="1" customWidth="1"/>
    <col min="77" max="77" width="10" style="1" hidden="1" customWidth="1"/>
    <col min="78" max="78" width="7" style="1" hidden="1" customWidth="1"/>
    <col min="79" max="79" width="7.5703125" style="1" hidden="1" customWidth="1"/>
    <col min="80" max="80" width="9.28515625" style="1" hidden="1" customWidth="1"/>
    <col min="81" max="81" width="9" style="1" hidden="1" customWidth="1"/>
    <col min="82" max="82" width="7.7109375" style="1" hidden="1" customWidth="1"/>
    <col min="83" max="83" width="5.140625" style="1" hidden="1" customWidth="1"/>
    <col min="84" max="84" width="7.28515625" style="1" hidden="1" customWidth="1"/>
    <col min="85" max="85" width="6.5703125" style="1" hidden="1" customWidth="1"/>
    <col min="86" max="86" width="6.28515625" style="1" hidden="1" customWidth="1"/>
    <col min="87" max="87" width="6.42578125" style="1" hidden="1" customWidth="1"/>
    <col min="88" max="88" width="5.140625" style="1" hidden="1" customWidth="1"/>
    <col min="89" max="89" width="6.28515625" style="1" hidden="1" customWidth="1"/>
    <col min="90" max="94" width="5.28515625" style="1" hidden="1" customWidth="1"/>
    <col min="95" max="95" width="5.140625" style="1" hidden="1" customWidth="1"/>
    <col min="96" max="96" width="7.5703125" style="1" hidden="1" customWidth="1"/>
    <col min="97" max="97" width="7.28515625" style="1" hidden="1" customWidth="1"/>
    <col min="98" max="98" width="12.85546875" style="1" hidden="1" customWidth="1"/>
    <col min="99" max="99" width="7.28515625" style="1" hidden="1" customWidth="1"/>
    <col min="100" max="100" width="12.85546875" style="1" hidden="1" customWidth="1"/>
    <col min="101" max="101" width="9.85546875" style="1" hidden="1" customWidth="1"/>
    <col min="102" max="102" width="10" style="1" hidden="1" customWidth="1"/>
    <col min="103" max="103" width="13.42578125" style="1" hidden="1" customWidth="1"/>
    <col min="104" max="104" width="10.140625" style="1" hidden="1" customWidth="1"/>
    <col min="105" max="105" width="8.42578125" style="1" hidden="1" customWidth="1"/>
    <col min="106" max="106" width="13.5703125" style="1" hidden="1" customWidth="1"/>
    <col min="107" max="107" width="5.140625" style="1" hidden="1" customWidth="1"/>
    <col min="108" max="108" width="8" style="1" hidden="1" customWidth="1"/>
    <col min="109" max="109" width="11.42578125" style="1" hidden="1" customWidth="1"/>
    <col min="110" max="110" width="7.7109375" style="1" hidden="1" customWidth="1"/>
    <col min="111" max="111" width="7.5703125" style="1" hidden="1" customWidth="1"/>
    <col min="112" max="113" width="5.140625" style="1" hidden="1" customWidth="1"/>
    <col min="114" max="114" width="14.140625" style="1" hidden="1" customWidth="1"/>
    <col min="115" max="115" width="15.5703125" style="1" hidden="1" customWidth="1"/>
    <col min="116" max="116" width="6.85546875" style="1" hidden="1" customWidth="1"/>
    <col min="117" max="16384" width="0" style="1" hidden="1"/>
  </cols>
  <sheetData>
    <row r="1" spans="1:122" ht="30.75" customHeight="1">
      <c r="A1" s="132" t="str">
        <f>GA55A!C5</f>
        <v>Office of the Principal, Govt. Sr. Sec. Sch. Todaraisingh,  (Tonk)</v>
      </c>
      <c r="B1" s="132"/>
      <c r="C1" s="132"/>
      <c r="D1" s="132"/>
      <c r="E1" s="132"/>
      <c r="F1" s="132"/>
    </row>
    <row r="2" spans="1:122" ht="27.75" customHeight="1">
      <c r="A2" s="133" t="str">
        <f>GA55A!D8&amp; " ,   " &amp;GA55A!L8&amp;"                         PAN-  "&amp;GA55A!U8</f>
        <v>Chandra Prakash Kurmi ,   Lecturer                         PAN-  AFFPK9247R</v>
      </c>
      <c r="B2" s="133"/>
      <c r="C2" s="133"/>
      <c r="D2" s="133"/>
      <c r="E2" s="133"/>
      <c r="F2" s="133"/>
    </row>
    <row r="3" spans="1:122" ht="15" customHeight="1">
      <c r="A3" s="97" t="s">
        <v>88</v>
      </c>
      <c r="B3" s="92">
        <v>0</v>
      </c>
      <c r="C3" s="101"/>
      <c r="D3" s="95" t="s">
        <v>35</v>
      </c>
      <c r="E3" s="92">
        <v>0</v>
      </c>
      <c r="F3" s="88" t="s">
        <v>33</v>
      </c>
      <c r="DR3" s="5" t="s">
        <v>23</v>
      </c>
    </row>
    <row r="4" spans="1:122">
      <c r="A4" s="98" t="s">
        <v>196</v>
      </c>
      <c r="B4" s="94">
        <v>0</v>
      </c>
      <c r="C4" s="101"/>
      <c r="D4" s="96" t="s">
        <v>172</v>
      </c>
      <c r="E4" s="94">
        <v>0</v>
      </c>
      <c r="F4" s="88">
        <f>Computation!Q4</f>
        <v>721071</v>
      </c>
      <c r="DR4" s="5"/>
    </row>
    <row r="5" spans="1:122" ht="15" customHeight="1">
      <c r="A5" s="97" t="s">
        <v>117</v>
      </c>
      <c r="B5" s="92">
        <v>0</v>
      </c>
      <c r="C5" s="101"/>
      <c r="D5" s="97" t="s">
        <v>166</v>
      </c>
      <c r="E5" s="92">
        <v>0</v>
      </c>
      <c r="F5" s="87" t="s">
        <v>34</v>
      </c>
      <c r="DR5" s="5"/>
    </row>
    <row r="6" spans="1:122" ht="17.25" customHeight="1">
      <c r="A6" s="96" t="s">
        <v>89</v>
      </c>
      <c r="B6" s="94">
        <v>0</v>
      </c>
      <c r="C6" s="101"/>
      <c r="D6" s="98" t="s">
        <v>189</v>
      </c>
      <c r="E6" s="94">
        <v>0</v>
      </c>
      <c r="F6" s="87">
        <f>Computation!Q44</f>
        <v>587400</v>
      </c>
      <c r="DR6" s="5"/>
    </row>
    <row r="7" spans="1:122" ht="15" customHeight="1">
      <c r="A7" s="97" t="s">
        <v>90</v>
      </c>
      <c r="B7" s="92">
        <v>0</v>
      </c>
      <c r="C7" s="101"/>
      <c r="D7" s="95" t="s">
        <v>190</v>
      </c>
      <c r="E7" s="92">
        <v>0</v>
      </c>
      <c r="F7" s="88" t="s">
        <v>97</v>
      </c>
      <c r="DR7" s="5"/>
    </row>
    <row r="8" spans="1:122" ht="15" customHeight="1">
      <c r="A8" s="99" t="s">
        <v>91</v>
      </c>
      <c r="B8" s="93">
        <v>0</v>
      </c>
      <c r="C8" s="101"/>
      <c r="D8" s="99" t="s">
        <v>169</v>
      </c>
      <c r="E8" s="93">
        <v>0</v>
      </c>
      <c r="F8" s="91">
        <f>GA55A!AA29</f>
        <v>30000</v>
      </c>
      <c r="DR8" s="5"/>
    </row>
    <row r="9" spans="1:122" ht="15" customHeight="1">
      <c r="A9" s="97" t="s">
        <v>92</v>
      </c>
      <c r="B9" s="92">
        <v>0</v>
      </c>
      <c r="C9" s="101"/>
      <c r="D9" s="97" t="s">
        <v>170</v>
      </c>
      <c r="E9" s="92">
        <v>0</v>
      </c>
      <c r="F9" s="134" t="s">
        <v>192</v>
      </c>
      <c r="DR9" s="5"/>
    </row>
    <row r="10" spans="1:122" ht="15" customHeight="1">
      <c r="A10" s="99" t="s">
        <v>6</v>
      </c>
      <c r="B10" s="93">
        <v>0</v>
      </c>
      <c r="C10" s="101"/>
      <c r="D10" s="99" t="s">
        <v>167</v>
      </c>
      <c r="E10" s="93">
        <v>0</v>
      </c>
      <c r="F10" s="134"/>
      <c r="DR10" s="5" t="s">
        <v>24</v>
      </c>
    </row>
    <row r="11" spans="1:122" ht="15" customHeight="1">
      <c r="A11" s="97" t="s">
        <v>7</v>
      </c>
      <c r="B11" s="92">
        <v>0</v>
      </c>
      <c r="C11" s="101"/>
      <c r="D11" s="97" t="s">
        <v>194</v>
      </c>
      <c r="E11" s="92">
        <v>0</v>
      </c>
      <c r="F11" s="134"/>
      <c r="DR11" s="5" t="s">
        <v>26</v>
      </c>
    </row>
    <row r="12" spans="1:122" ht="15" customHeight="1">
      <c r="A12" s="99" t="s">
        <v>191</v>
      </c>
      <c r="B12" s="93">
        <v>0</v>
      </c>
      <c r="C12" s="101"/>
      <c r="D12" s="99" t="s">
        <v>168</v>
      </c>
      <c r="E12" s="93">
        <v>0</v>
      </c>
      <c r="F12" s="90">
        <f>Computation!Q28</f>
        <v>133668</v>
      </c>
      <c r="DR12" s="5" t="s">
        <v>4</v>
      </c>
    </row>
    <row r="13" spans="1:122" ht="15" customHeight="1">
      <c r="A13" s="97" t="s">
        <v>12</v>
      </c>
      <c r="B13" s="92">
        <v>0</v>
      </c>
      <c r="C13" s="101"/>
      <c r="D13" s="97" t="s">
        <v>171</v>
      </c>
      <c r="E13" s="92">
        <v>0</v>
      </c>
      <c r="F13" s="135" t="s">
        <v>10</v>
      </c>
      <c r="DR13" s="5" t="s">
        <v>0</v>
      </c>
    </row>
    <row r="14" spans="1:122" ht="15" customHeight="1">
      <c r="A14" s="99" t="s">
        <v>94</v>
      </c>
      <c r="B14" s="93">
        <v>0</v>
      </c>
      <c r="C14" s="101"/>
      <c r="D14" s="99" t="s">
        <v>193</v>
      </c>
      <c r="E14" s="93">
        <v>0</v>
      </c>
      <c r="F14" s="135"/>
      <c r="DR14" s="5" t="s">
        <v>26</v>
      </c>
    </row>
    <row r="15" spans="1:122" ht="15" customHeight="1">
      <c r="A15" s="97" t="s">
        <v>22</v>
      </c>
      <c r="B15" s="92">
        <v>0</v>
      </c>
      <c r="C15" s="101"/>
      <c r="D15" s="97" t="s">
        <v>96</v>
      </c>
      <c r="E15" s="92">
        <v>0</v>
      </c>
      <c r="F15" s="135"/>
      <c r="DR15" s="5" t="s">
        <v>27</v>
      </c>
    </row>
    <row r="16" spans="1:122" ht="15" customHeight="1">
      <c r="A16" s="99" t="s">
        <v>93</v>
      </c>
      <c r="B16" s="93">
        <v>0</v>
      </c>
      <c r="C16" s="101"/>
      <c r="D16" s="99" t="s">
        <v>164</v>
      </c>
      <c r="E16" s="93">
        <v>0</v>
      </c>
      <c r="F16" s="137">
        <f>IF(B3=0,0,ROUND(0.1*(F4-F18),0)+B3)</f>
        <v>0</v>
      </c>
      <c r="DR16" s="5" t="s">
        <v>5</v>
      </c>
    </row>
    <row r="17" spans="1:122" ht="15" customHeight="1">
      <c r="A17" s="107" t="s">
        <v>57</v>
      </c>
      <c r="B17" s="92">
        <v>0</v>
      </c>
      <c r="C17" s="101"/>
      <c r="D17" s="97" t="s">
        <v>61</v>
      </c>
      <c r="E17" s="92">
        <v>0</v>
      </c>
      <c r="F17" s="137"/>
      <c r="DR17" s="5" t="s">
        <v>28</v>
      </c>
    </row>
    <row r="18" spans="1:122" ht="15" customHeight="1">
      <c r="A18" s="136" t="str">
        <f>Computation!B60</f>
        <v>Income Tax Payable</v>
      </c>
      <c r="B18" s="136"/>
      <c r="C18" s="2"/>
      <c r="D18" s="100">
        <f>Computation!Q60</f>
        <v>13754</v>
      </c>
      <c r="E18" s="2"/>
      <c r="F18" s="108">
        <f>GA55A!I29</f>
        <v>30252</v>
      </c>
      <c r="DR18" s="5" t="s">
        <v>9</v>
      </c>
    </row>
    <row r="19" spans="1:122" ht="15" customHeight="1">
      <c r="A19" s="136" t="str">
        <f>"Total Rebate of (US 80C, 80CCC,80CCD(1)) =  "&amp;Computation!Q28</f>
        <v>Total Rebate of (US 80C, 80CCC,80CCD(1)) =  133668</v>
      </c>
      <c r="B19" s="136"/>
      <c r="C19" s="2"/>
      <c r="D19" s="100" t="str">
        <f>"Investable Amount = "&amp;(150000-Computation!Q28)</f>
        <v>Investable Amount = 16332</v>
      </c>
      <c r="E19" s="2"/>
      <c r="F19" s="2"/>
      <c r="DR19" s="5" t="s">
        <v>25</v>
      </c>
    </row>
    <row r="20" spans="1:122" ht="48" customHeight="1">
      <c r="A20" s="130" t="s">
        <v>158</v>
      </c>
      <c r="B20" s="131"/>
      <c r="C20" s="131"/>
      <c r="D20" s="131"/>
      <c r="E20" s="131"/>
      <c r="F20" s="131"/>
    </row>
    <row r="21" spans="1:122" hidden="1"/>
    <row r="22" spans="1:122" hidden="1"/>
    <row r="23" spans="1:122" hidden="1"/>
    <row r="24" spans="1:122" hidden="1"/>
    <row r="25" spans="1:122" hidden="1"/>
    <row r="26" spans="1:122" hidden="1"/>
    <row r="27" spans="1:122" hidden="1"/>
    <row r="28" spans="1:122" hidden="1"/>
    <row r="29" spans="1:122" hidden="1"/>
    <row r="30" spans="1:122" hidden="1"/>
    <row r="31" spans="1:122" hidden="1"/>
    <row r="32" spans="1:122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</sheetData>
  <sheetProtection password="CF11" sheet="1" objects="1" scenarios="1" selectLockedCells="1"/>
  <customSheetViews>
    <customSheetView guid="{01E6FF9C-BB30-4C32-9D09-6DB93F11503E}" hiddenRows="1" hiddenColumns="1">
      <selection activeCell="B19" sqref="B19"/>
      <pageMargins left="0.5" right="0.5" top="0.2" bottom="0.2" header="0" footer="0"/>
      <pageSetup paperSize="9" orientation="portrait" r:id="rId1"/>
      <headerFooter alignWithMargins="0"/>
    </customSheetView>
    <customSheetView guid="{483AFC7C-A53B-4837-A853-31CBC6C9ED1B}" hiddenRows="1" hiddenColumns="1">
      <selection activeCell="B6" sqref="B6"/>
      <pageMargins left="0.5" right="0.5" top="0.2" bottom="0.2" header="0" footer="0"/>
      <pageSetup paperSize="9" orientation="portrait" r:id="rId2"/>
      <headerFooter alignWithMargins="0"/>
    </customSheetView>
  </customSheetViews>
  <mergeCells count="8">
    <mergeCell ref="A20:F20"/>
    <mergeCell ref="A1:F1"/>
    <mergeCell ref="A2:F2"/>
    <mergeCell ref="F9:F11"/>
    <mergeCell ref="F13:F15"/>
    <mergeCell ref="A19:B19"/>
    <mergeCell ref="A18:B18"/>
    <mergeCell ref="F16:F17"/>
  </mergeCells>
  <phoneticPr fontId="0" type="noConversion"/>
  <conditionalFormatting sqref="A18:E19 F19">
    <cfRule type="expression" dxfId="2" priority="7" stopIfTrue="1">
      <formula>$A$18="Income Tax Refundable"</formula>
    </cfRule>
    <cfRule type="expression" dxfId="1" priority="8" stopIfTrue="1">
      <formula>$A$18="Income Tax Payable"</formula>
    </cfRule>
  </conditionalFormatting>
  <conditionalFormatting sqref="DR11:DR19">
    <cfRule type="cellIs" dxfId="0" priority="10" stopIfTrue="1" operator="lessThan">
      <formula>1</formula>
    </cfRule>
  </conditionalFormatting>
  <dataValidations count="3">
    <dataValidation type="whole" operator="lessThanOrEqual" allowBlank="1" showInputMessage="1" showErrorMessage="1" errorTitle="Sorry...!!! Not Allow" error="HRA Rebate Permissible up to Actual HRA Recieved" sqref="E3">
      <formula1>H17</formula1>
    </dataValidation>
    <dataValidation type="whole" operator="lessThanOrEqual" allowBlank="1" showInputMessage="1" showErrorMessage="1" errorTitle="Sorry...!!! Not Allow" error="HRA Rebate Permissible up to Actual HRA Recieved" sqref="C3:C17">
      <formula1>G17</formula1>
    </dataValidation>
    <dataValidation type="whole" operator="lessThanOrEqual" allowBlank="1" showInputMessage="1" showErrorMessage="1" errorTitle="Sorry...!!! Not Allow" error="HRA Rebate Permissible up to Actual HRA Recieved" sqref="B3">
      <formula1>F18</formula1>
    </dataValidation>
  </dataValidations>
  <pageMargins left="0.5" right="0.5" top="0.2" bottom="0.2" header="0" footer="0"/>
  <pageSetup paperSize="9" orientation="portrait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W76"/>
  <sheetViews>
    <sheetView showGridLines="0" zoomScale="110" zoomScaleNormal="110" workbookViewId="0">
      <selection activeCell="I26" sqref="I26"/>
    </sheetView>
  </sheetViews>
  <sheetFormatPr defaultColWidth="0" defaultRowHeight="15.75" zeroHeight="1"/>
  <cols>
    <col min="1" max="1" width="3" customWidth="1"/>
    <col min="2" max="2" width="2.42578125" style="15" customWidth="1"/>
    <col min="3" max="3" width="4.5703125" style="14" customWidth="1"/>
    <col min="4" max="5" width="9.140625" style="14" customWidth="1"/>
    <col min="6" max="6" width="3.85546875" style="14" customWidth="1"/>
    <col min="7" max="7" width="4.140625" style="14" customWidth="1"/>
    <col min="8" max="8" width="2.7109375" style="14" customWidth="1"/>
    <col min="9" max="9" width="10.5703125" style="14" customWidth="1"/>
    <col min="10" max="10" width="4.42578125" style="14" customWidth="1"/>
    <col min="11" max="11" width="10.28515625" style="14" customWidth="1"/>
    <col min="12" max="12" width="11.42578125" style="14" customWidth="1"/>
    <col min="13" max="13" width="9.42578125" style="14" customWidth="1"/>
    <col min="14" max="14" width="3.5703125" style="14" customWidth="1"/>
    <col min="15" max="15" width="11" style="14" customWidth="1"/>
    <col min="16" max="16" width="2.7109375" style="16" bestFit="1" customWidth="1"/>
    <col min="17" max="17" width="12.85546875" style="17" customWidth="1"/>
    <col min="18" max="18" width="2.42578125" customWidth="1"/>
    <col min="19" max="257" width="0" hidden="1" customWidth="1"/>
    <col min="258" max="16384" width="9.140625" hidden="1"/>
  </cols>
  <sheetData>
    <row r="1" spans="2:17" s="20" customFormat="1" ht="18.75">
      <c r="B1" s="158" t="str">
        <f>GA55A!C5</f>
        <v>Office of the Principal, Govt. Sr. Sec. Sch. Todaraisingh,  (Tonk)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</row>
    <row r="2" spans="2:17" s="20" customFormat="1" ht="19.5" thickBot="1">
      <c r="B2" s="159" t="s">
        <v>151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</row>
    <row r="3" spans="2:17" s="20" customFormat="1" ht="15" customHeight="1">
      <c r="B3" s="55">
        <v>1</v>
      </c>
      <c r="C3" s="160" t="s">
        <v>13</v>
      </c>
      <c r="D3" s="161"/>
      <c r="E3" s="165" t="str">
        <f>GA55A!D8</f>
        <v>Chandra Prakash Kurmi</v>
      </c>
      <c r="F3" s="165"/>
      <c r="G3" s="165"/>
      <c r="H3" s="165"/>
      <c r="I3" s="165"/>
      <c r="J3" s="165"/>
      <c r="K3" s="56" t="s">
        <v>39</v>
      </c>
      <c r="L3" s="166" t="str">
        <f>GA55A!L8</f>
        <v>Lecturer</v>
      </c>
      <c r="M3" s="166"/>
      <c r="N3" s="166"/>
      <c r="O3" s="57" t="s">
        <v>36</v>
      </c>
      <c r="P3" s="162" t="str">
        <f>GA55A!U8</f>
        <v>AFFPK9247R</v>
      </c>
      <c r="Q3" s="163"/>
    </row>
    <row r="4" spans="2:17" s="20" customFormat="1" ht="15" customHeight="1">
      <c r="B4" s="47">
        <v>2</v>
      </c>
      <c r="C4" s="164" t="s">
        <v>152</v>
      </c>
      <c r="D4" s="164"/>
      <c r="E4" s="144"/>
      <c r="F4" s="144"/>
      <c r="G4" s="144"/>
      <c r="H4" s="144"/>
      <c r="I4" s="144"/>
      <c r="J4" s="144"/>
      <c r="K4" s="164"/>
      <c r="L4" s="144"/>
      <c r="M4" s="144"/>
      <c r="N4" s="144"/>
      <c r="O4" s="164"/>
      <c r="P4" s="32" t="s">
        <v>14</v>
      </c>
      <c r="Q4" s="48">
        <f>GA55A!N29</f>
        <v>721071</v>
      </c>
    </row>
    <row r="5" spans="2:17" s="20" customFormat="1" ht="15" customHeight="1">
      <c r="B5" s="47">
        <v>3</v>
      </c>
      <c r="C5" s="144" t="s">
        <v>79</v>
      </c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32" t="s">
        <v>14</v>
      </c>
      <c r="Q5" s="49">
        <f>'Other Deduction'!B3</f>
        <v>0</v>
      </c>
    </row>
    <row r="6" spans="2:17" s="20" customFormat="1" ht="15" customHeight="1">
      <c r="B6" s="47">
        <v>4</v>
      </c>
      <c r="C6" s="154" t="s">
        <v>40</v>
      </c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32" t="s">
        <v>14</v>
      </c>
      <c r="Q6" s="49">
        <f>Q4-Q5</f>
        <v>721071</v>
      </c>
    </row>
    <row r="7" spans="2:17" s="20" customFormat="1" ht="15" customHeight="1">
      <c r="B7" s="169">
        <v>5</v>
      </c>
      <c r="C7" s="145" t="s">
        <v>100</v>
      </c>
      <c r="D7" s="146"/>
      <c r="E7" s="146"/>
      <c r="F7" s="146"/>
      <c r="G7" s="146"/>
      <c r="H7" s="146"/>
      <c r="I7" s="146"/>
      <c r="J7" s="146"/>
      <c r="K7" s="146"/>
      <c r="L7" s="146"/>
      <c r="M7" s="139">
        <f>'Other Deduction'!B4</f>
        <v>0</v>
      </c>
      <c r="N7" s="139"/>
      <c r="O7" s="139"/>
      <c r="P7" s="167"/>
      <c r="Q7" s="168"/>
    </row>
    <row r="8" spans="2:17" s="20" customFormat="1" ht="15" customHeight="1">
      <c r="B8" s="170"/>
      <c r="C8" s="145" t="s">
        <v>101</v>
      </c>
      <c r="D8" s="146"/>
      <c r="E8" s="146"/>
      <c r="F8" s="146"/>
      <c r="G8" s="146"/>
      <c r="H8" s="146"/>
      <c r="I8" s="146"/>
      <c r="J8" s="146"/>
      <c r="K8" s="146"/>
      <c r="L8" s="146"/>
      <c r="M8" s="139">
        <f>'Other Deduction'!B5</f>
        <v>0</v>
      </c>
      <c r="N8" s="139"/>
      <c r="O8" s="139"/>
      <c r="P8" s="32" t="s">
        <v>14</v>
      </c>
      <c r="Q8" s="49">
        <f>M7+M8</f>
        <v>0</v>
      </c>
    </row>
    <row r="9" spans="2:17" s="20" customFormat="1" ht="15" customHeight="1">
      <c r="B9" s="47">
        <v>6</v>
      </c>
      <c r="C9" s="143" t="s">
        <v>15</v>
      </c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32" t="s">
        <v>14</v>
      </c>
      <c r="Q9" s="49">
        <f>Q6-Q8</f>
        <v>721071</v>
      </c>
    </row>
    <row r="10" spans="2:17" s="20" customFormat="1" ht="15" customHeight="1">
      <c r="B10" s="171">
        <v>7</v>
      </c>
      <c r="C10" s="144" t="s">
        <v>41</v>
      </c>
      <c r="D10" s="144"/>
      <c r="E10" s="144"/>
      <c r="F10" s="144"/>
      <c r="G10" s="144"/>
      <c r="H10" s="144"/>
      <c r="I10" s="144"/>
      <c r="J10" s="144"/>
      <c r="K10" s="143" t="s">
        <v>42</v>
      </c>
      <c r="L10" s="143"/>
      <c r="M10" s="139">
        <f>'Other Deduction'!B6</f>
        <v>0</v>
      </c>
      <c r="N10" s="139"/>
      <c r="O10" s="139"/>
      <c r="P10" s="140"/>
      <c r="Q10" s="141"/>
    </row>
    <row r="11" spans="2:17" s="20" customFormat="1" ht="15" customHeight="1">
      <c r="B11" s="171"/>
      <c r="C11" s="178" t="s">
        <v>43</v>
      </c>
      <c r="D11" s="179"/>
      <c r="E11" s="167" t="s">
        <v>119</v>
      </c>
      <c r="F11" s="176"/>
      <c r="G11" s="177"/>
      <c r="H11" s="142" t="s">
        <v>16</v>
      </c>
      <c r="I11" s="142"/>
      <c r="J11" s="142"/>
      <c r="K11" s="143" t="s">
        <v>44</v>
      </c>
      <c r="L11" s="143"/>
      <c r="M11" s="143" t="s">
        <v>78</v>
      </c>
      <c r="N11" s="143"/>
      <c r="O11" s="143"/>
      <c r="P11" s="140"/>
      <c r="Q11" s="141"/>
    </row>
    <row r="12" spans="2:17" s="20" customFormat="1" ht="15" customHeight="1">
      <c r="B12" s="171"/>
      <c r="C12" s="180"/>
      <c r="D12" s="181"/>
      <c r="E12" s="173">
        <f>ROUND(M10*0.3,0)</f>
        <v>0</v>
      </c>
      <c r="F12" s="174"/>
      <c r="G12" s="175"/>
      <c r="H12" s="139">
        <f>GA55A!Z29+'Other Deduction'!B9</f>
        <v>0</v>
      </c>
      <c r="I12" s="139"/>
      <c r="J12" s="139"/>
      <c r="K12" s="139">
        <f>'Other Deduction'!B7</f>
        <v>0</v>
      </c>
      <c r="L12" s="139"/>
      <c r="M12" s="139">
        <f>E12+H12+K12</f>
        <v>0</v>
      </c>
      <c r="N12" s="139"/>
      <c r="O12" s="139"/>
      <c r="P12" s="140"/>
      <c r="Q12" s="141"/>
    </row>
    <row r="13" spans="2:17" s="20" customFormat="1" ht="15" customHeight="1">
      <c r="B13" s="47"/>
      <c r="C13" s="143" t="s">
        <v>45</v>
      </c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32" t="s">
        <v>14</v>
      </c>
      <c r="Q13" s="49">
        <f>M10-M12</f>
        <v>0</v>
      </c>
    </row>
    <row r="14" spans="2:17" s="20" customFormat="1" ht="15" customHeight="1">
      <c r="B14" s="47">
        <v>8</v>
      </c>
      <c r="C14" s="143" t="s">
        <v>80</v>
      </c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32" t="s">
        <v>14</v>
      </c>
      <c r="Q14" s="49">
        <f>Q9+Q13</f>
        <v>721071</v>
      </c>
    </row>
    <row r="15" spans="2:17" s="20" customFormat="1" ht="15" customHeight="1">
      <c r="B15" s="47">
        <v>9</v>
      </c>
      <c r="C15" s="144" t="s">
        <v>35</v>
      </c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32" t="s">
        <v>14</v>
      </c>
      <c r="Q15" s="49">
        <f>'Other Deduction'!E3</f>
        <v>0</v>
      </c>
    </row>
    <row r="16" spans="2:17" s="20" customFormat="1" ht="15" customHeight="1">
      <c r="B16" s="47">
        <v>10</v>
      </c>
      <c r="C16" s="144" t="s">
        <v>46</v>
      </c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32" t="s">
        <v>14</v>
      </c>
      <c r="Q16" s="48">
        <f>Q14+Q15</f>
        <v>721071</v>
      </c>
    </row>
    <row r="17" spans="2:17" s="20" customFormat="1" ht="15" customHeight="1">
      <c r="B17" s="169">
        <v>11</v>
      </c>
      <c r="C17" s="144" t="s">
        <v>102</v>
      </c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91"/>
    </row>
    <row r="18" spans="2:17" s="20" customFormat="1" ht="15" customHeight="1">
      <c r="B18" s="185"/>
      <c r="C18" s="192" t="s">
        <v>148</v>
      </c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3"/>
    </row>
    <row r="19" spans="2:17" s="20" customFormat="1" ht="15" customHeight="1">
      <c r="B19" s="185"/>
      <c r="C19" s="8" t="s">
        <v>47</v>
      </c>
      <c r="D19" s="144" t="s">
        <v>103</v>
      </c>
      <c r="E19" s="144"/>
      <c r="F19" s="144"/>
      <c r="G19" s="144"/>
      <c r="H19" s="32" t="s">
        <v>14</v>
      </c>
      <c r="I19" s="18">
        <f>GA55A!S29</f>
        <v>18600</v>
      </c>
      <c r="J19" s="8" t="s">
        <v>48</v>
      </c>
      <c r="K19" s="194" t="s">
        <v>197</v>
      </c>
      <c r="L19" s="194"/>
      <c r="M19" s="194"/>
      <c r="N19" s="32" t="s">
        <v>14</v>
      </c>
      <c r="O19" s="18">
        <f>GA55A!Q29</f>
        <v>0</v>
      </c>
      <c r="P19" s="143"/>
      <c r="Q19" s="195"/>
    </row>
    <row r="20" spans="2:17" s="20" customFormat="1" ht="15" customHeight="1">
      <c r="B20" s="185"/>
      <c r="C20" s="8" t="s">
        <v>49</v>
      </c>
      <c r="D20" s="144" t="s">
        <v>104</v>
      </c>
      <c r="E20" s="144"/>
      <c r="F20" s="144"/>
      <c r="G20" s="144"/>
      <c r="H20" s="32" t="s">
        <v>14</v>
      </c>
      <c r="I20" s="18">
        <f>GA55A!W29+'Other Deduction'!B10</f>
        <v>67716</v>
      </c>
      <c r="J20" s="8" t="s">
        <v>50</v>
      </c>
      <c r="K20" s="172" t="s">
        <v>51</v>
      </c>
      <c r="L20" s="172"/>
      <c r="M20" s="172"/>
      <c r="N20" s="32" t="s">
        <v>14</v>
      </c>
      <c r="O20" s="18">
        <f>'Other Deduction'!E4</f>
        <v>0</v>
      </c>
      <c r="P20" s="143"/>
      <c r="Q20" s="195"/>
    </row>
    <row r="21" spans="2:17" s="20" customFormat="1" ht="15" customHeight="1">
      <c r="B21" s="185"/>
      <c r="C21" s="8" t="s">
        <v>52</v>
      </c>
      <c r="D21" s="144" t="s">
        <v>105</v>
      </c>
      <c r="E21" s="144"/>
      <c r="F21" s="144"/>
      <c r="G21" s="144"/>
      <c r="H21" s="32" t="s">
        <v>14</v>
      </c>
      <c r="I21" s="18">
        <f>'Other Deduction'!B14</f>
        <v>0</v>
      </c>
      <c r="J21" s="8" t="s">
        <v>53</v>
      </c>
      <c r="K21" s="172" t="s">
        <v>22</v>
      </c>
      <c r="L21" s="172"/>
      <c r="M21" s="172"/>
      <c r="N21" s="32" t="s">
        <v>14</v>
      </c>
      <c r="O21" s="19">
        <f>'Other Deduction'!B15</f>
        <v>0</v>
      </c>
      <c r="P21" s="143"/>
      <c r="Q21" s="195"/>
    </row>
    <row r="22" spans="2:17" s="20" customFormat="1" ht="15" customHeight="1">
      <c r="B22" s="185"/>
      <c r="C22" s="8" t="s">
        <v>54</v>
      </c>
      <c r="D22" s="144" t="s">
        <v>106</v>
      </c>
      <c r="E22" s="144"/>
      <c r="F22" s="144"/>
      <c r="G22" s="144"/>
      <c r="H22" s="32" t="s">
        <v>14</v>
      </c>
      <c r="I22" s="18">
        <f>'Other Deduction'!B16</f>
        <v>0</v>
      </c>
      <c r="J22" s="8" t="s">
        <v>55</v>
      </c>
      <c r="K22" s="172" t="s">
        <v>161</v>
      </c>
      <c r="L22" s="172"/>
      <c r="M22" s="172"/>
      <c r="N22" s="32" t="s">
        <v>14</v>
      </c>
      <c r="O22" s="19">
        <f>'Other Deduction'!B12</f>
        <v>0</v>
      </c>
      <c r="P22" s="143"/>
      <c r="Q22" s="195"/>
    </row>
    <row r="23" spans="2:17" s="20" customFormat="1" ht="15" customHeight="1">
      <c r="B23" s="185"/>
      <c r="C23" s="8" t="s">
        <v>56</v>
      </c>
      <c r="D23" s="144" t="s">
        <v>107</v>
      </c>
      <c r="E23" s="144"/>
      <c r="F23" s="144"/>
      <c r="G23" s="144"/>
      <c r="H23" s="32" t="s">
        <v>14</v>
      </c>
      <c r="I23" s="18">
        <f>'Other Deduction'!B17</f>
        <v>0</v>
      </c>
      <c r="J23" s="8" t="s">
        <v>58</v>
      </c>
      <c r="K23" s="172" t="s">
        <v>164</v>
      </c>
      <c r="L23" s="172"/>
      <c r="M23" s="172"/>
      <c r="N23" s="32" t="s">
        <v>14</v>
      </c>
      <c r="O23" s="18">
        <f>'Other Deduction'!E16</f>
        <v>0</v>
      </c>
      <c r="P23" s="143"/>
      <c r="Q23" s="195"/>
    </row>
    <row r="24" spans="2:17" s="20" customFormat="1" ht="15" customHeight="1">
      <c r="B24" s="185"/>
      <c r="C24" s="8" t="s">
        <v>59</v>
      </c>
      <c r="D24" s="144" t="s">
        <v>108</v>
      </c>
      <c r="E24" s="144"/>
      <c r="F24" s="144"/>
      <c r="G24" s="144"/>
      <c r="H24" s="32" t="s">
        <v>14</v>
      </c>
      <c r="I24" s="18">
        <f>GA55A!O29</f>
        <v>47105</v>
      </c>
      <c r="J24" s="8" t="s">
        <v>60</v>
      </c>
      <c r="K24" s="172" t="s">
        <v>163</v>
      </c>
      <c r="L24" s="172"/>
      <c r="M24" s="172"/>
      <c r="N24" s="32" t="s">
        <v>14</v>
      </c>
      <c r="O24" s="18">
        <f>'Other Deduction'!E17</f>
        <v>0</v>
      </c>
      <c r="P24" s="143"/>
      <c r="Q24" s="195"/>
    </row>
    <row r="25" spans="2:17" s="20" customFormat="1" ht="15" customHeight="1">
      <c r="B25" s="185"/>
      <c r="C25" s="8" t="s">
        <v>62</v>
      </c>
      <c r="D25" s="145" t="s">
        <v>204</v>
      </c>
      <c r="E25" s="146"/>
      <c r="F25" s="146"/>
      <c r="G25" s="147"/>
      <c r="H25" s="32" t="s">
        <v>14</v>
      </c>
      <c r="I25" s="19">
        <f>GA55A!X11</f>
        <v>247.19</v>
      </c>
      <c r="J25" s="8" t="s">
        <v>63</v>
      </c>
      <c r="K25" s="148" t="s">
        <v>162</v>
      </c>
      <c r="L25" s="148"/>
      <c r="M25" s="148"/>
      <c r="N25" s="32" t="s">
        <v>14</v>
      </c>
      <c r="O25" s="18">
        <f>'Other Deduction'!B11</f>
        <v>0</v>
      </c>
      <c r="P25" s="143"/>
      <c r="Q25" s="195"/>
    </row>
    <row r="26" spans="2:17" s="20" customFormat="1" ht="15" customHeight="1">
      <c r="B26" s="185"/>
      <c r="C26" s="8" t="s">
        <v>64</v>
      </c>
      <c r="D26" s="144" t="s">
        <v>12</v>
      </c>
      <c r="E26" s="144"/>
      <c r="F26" s="144"/>
      <c r="G26" s="144"/>
      <c r="H26" s="32" t="s">
        <v>14</v>
      </c>
      <c r="I26" s="19">
        <f>'Other Deduction'!B13</f>
        <v>0</v>
      </c>
      <c r="J26" s="8" t="s">
        <v>65</v>
      </c>
      <c r="K26" s="148" t="s">
        <v>165</v>
      </c>
      <c r="L26" s="148"/>
      <c r="M26" s="148"/>
      <c r="N26" s="32" t="s">
        <v>14</v>
      </c>
      <c r="O26" s="18">
        <f>'Other Deduction'!E5</f>
        <v>0</v>
      </c>
      <c r="P26" s="143"/>
      <c r="Q26" s="195"/>
    </row>
    <row r="27" spans="2:17" s="20" customFormat="1" ht="15" customHeight="1">
      <c r="B27" s="185"/>
      <c r="C27" s="8" t="s">
        <v>66</v>
      </c>
      <c r="D27" s="144" t="s">
        <v>120</v>
      </c>
      <c r="E27" s="144"/>
      <c r="F27" s="144"/>
      <c r="G27" s="144"/>
      <c r="H27" s="32" t="s">
        <v>14</v>
      </c>
      <c r="I27" s="18">
        <f>GA55A!Y29+'Other Deduction'!B8</f>
        <v>0</v>
      </c>
      <c r="J27" s="182" t="s">
        <v>67</v>
      </c>
      <c r="K27" s="183"/>
      <c r="L27" s="183"/>
      <c r="M27" s="184"/>
      <c r="N27" s="32" t="s">
        <v>14</v>
      </c>
      <c r="O27" s="21">
        <f>SUM(I19:I27)+SUM(O19:O26)</f>
        <v>133668.19</v>
      </c>
      <c r="P27" s="143"/>
      <c r="Q27" s="195"/>
    </row>
    <row r="28" spans="2:17" s="20" customFormat="1" ht="15" customHeight="1">
      <c r="B28" s="185"/>
      <c r="C28" s="154" t="s">
        <v>146</v>
      </c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32" t="s">
        <v>14</v>
      </c>
      <c r="Q28" s="48">
        <f>IF(O27&lt;150001,ROUND(O27,0),150000)</f>
        <v>133668</v>
      </c>
    </row>
    <row r="29" spans="2:17" s="20" customFormat="1" ht="15" customHeight="1">
      <c r="B29" s="185"/>
      <c r="C29" s="155" t="s">
        <v>187</v>
      </c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7"/>
      <c r="P29" s="72"/>
      <c r="Q29" s="49">
        <f>O19</f>
        <v>0</v>
      </c>
    </row>
    <row r="30" spans="2:17" s="20" customFormat="1" ht="15" customHeight="1">
      <c r="B30" s="185"/>
      <c r="C30" s="155" t="s">
        <v>202</v>
      </c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7"/>
      <c r="P30" s="32" t="s">
        <v>14</v>
      </c>
      <c r="Q30" s="49">
        <f>IF('Other Deduction'!E6&gt;50000,50000,'Other Deduction'!E6)</f>
        <v>0</v>
      </c>
    </row>
    <row r="31" spans="2:17" s="20" customFormat="1" ht="15" customHeight="1">
      <c r="B31" s="170"/>
      <c r="C31" s="154" t="s">
        <v>195</v>
      </c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32" t="s">
        <v>14</v>
      </c>
      <c r="Q31" s="48">
        <f>SUM(Q28:Q30)</f>
        <v>133668</v>
      </c>
    </row>
    <row r="32" spans="2:17" s="20" customFormat="1" ht="15" customHeight="1">
      <c r="B32" s="169">
        <v>12</v>
      </c>
      <c r="C32" s="186" t="s">
        <v>109</v>
      </c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7"/>
    </row>
    <row r="33" spans="2:17" s="20" customFormat="1" ht="15" customHeight="1">
      <c r="B33" s="185"/>
      <c r="C33" s="144" t="s">
        <v>186</v>
      </c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32" t="s">
        <v>14</v>
      </c>
      <c r="Q33" s="49">
        <f>'Other Deduction'!E7</f>
        <v>0</v>
      </c>
    </row>
    <row r="34" spans="2:17" s="20" customFormat="1" ht="15" customHeight="1">
      <c r="B34" s="185"/>
      <c r="C34" s="144" t="s">
        <v>185</v>
      </c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32" t="s">
        <v>14</v>
      </c>
      <c r="Q34" s="49">
        <f>'Other Deduction'!E8</f>
        <v>0</v>
      </c>
    </row>
    <row r="35" spans="2:17" s="20" customFormat="1" ht="15" customHeight="1">
      <c r="B35" s="185"/>
      <c r="C35" s="144" t="s">
        <v>95</v>
      </c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32" t="s">
        <v>14</v>
      </c>
      <c r="Q35" s="49">
        <f>'Other Deduction'!E9</f>
        <v>0</v>
      </c>
    </row>
    <row r="36" spans="2:17" s="20" customFormat="1" ht="15" customHeight="1">
      <c r="B36" s="185"/>
      <c r="C36" s="144" t="s">
        <v>81</v>
      </c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32" t="s">
        <v>14</v>
      </c>
      <c r="Q36" s="49">
        <f>'Other Deduction'!E10</f>
        <v>0</v>
      </c>
    </row>
    <row r="37" spans="2:17" s="20" customFormat="1" ht="15" customHeight="1">
      <c r="B37" s="185"/>
      <c r="C37" s="144" t="s">
        <v>82</v>
      </c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32" t="s">
        <v>14</v>
      </c>
      <c r="Q37" s="49">
        <f>'Other Deduction'!E11</f>
        <v>0</v>
      </c>
    </row>
    <row r="38" spans="2:17" s="20" customFormat="1" ht="15" customHeight="1">
      <c r="B38" s="185"/>
      <c r="C38" s="188" t="s">
        <v>184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90"/>
      <c r="P38" s="32" t="s">
        <v>14</v>
      </c>
      <c r="Q38" s="49">
        <f>'Other Deduction'!E12</f>
        <v>0</v>
      </c>
    </row>
    <row r="39" spans="2:17" s="20" customFormat="1" ht="15" customHeight="1">
      <c r="B39" s="185"/>
      <c r="C39" s="145" t="s">
        <v>110</v>
      </c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7"/>
      <c r="P39" s="32" t="s">
        <v>14</v>
      </c>
      <c r="Q39" s="49">
        <f>'Other Deduction'!E13</f>
        <v>0</v>
      </c>
    </row>
    <row r="40" spans="2:17" s="20" customFormat="1" ht="15" customHeight="1">
      <c r="B40" s="185"/>
      <c r="C40" s="145" t="s">
        <v>183</v>
      </c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7"/>
      <c r="P40" s="74" t="s">
        <v>14</v>
      </c>
      <c r="Q40" s="49">
        <f>'Other Deduction'!E14</f>
        <v>0</v>
      </c>
    </row>
    <row r="41" spans="2:17" s="20" customFormat="1" ht="15" customHeight="1">
      <c r="B41" s="170"/>
      <c r="C41" s="154" t="s">
        <v>68</v>
      </c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32" t="s">
        <v>14</v>
      </c>
      <c r="Q41" s="50">
        <f>SUM(Q33:Q40)</f>
        <v>0</v>
      </c>
    </row>
    <row r="42" spans="2:17" s="20" customFormat="1" ht="15" customHeight="1">
      <c r="B42" s="47">
        <v>13</v>
      </c>
      <c r="C42" s="144" t="s">
        <v>83</v>
      </c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32" t="s">
        <v>14</v>
      </c>
      <c r="Q42" s="49">
        <f>Q31+Q41</f>
        <v>133668</v>
      </c>
    </row>
    <row r="43" spans="2:17" s="20" customFormat="1" ht="15" customHeight="1">
      <c r="B43" s="47">
        <v>14</v>
      </c>
      <c r="C43" s="144" t="s">
        <v>84</v>
      </c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32" t="s">
        <v>14</v>
      </c>
      <c r="Q43" s="49">
        <f>(Q16-Q42)</f>
        <v>587403</v>
      </c>
    </row>
    <row r="44" spans="2:17" s="20" customFormat="1" ht="15" customHeight="1">
      <c r="B44" s="47">
        <v>15</v>
      </c>
      <c r="C44" s="144" t="s">
        <v>85</v>
      </c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32" t="s">
        <v>14</v>
      </c>
      <c r="Q44" s="48">
        <f>ROUND(Q43,-1)</f>
        <v>587400</v>
      </c>
    </row>
    <row r="45" spans="2:17" s="20" customFormat="1" ht="15" customHeight="1">
      <c r="B45" s="169">
        <v>16</v>
      </c>
      <c r="C45" s="144" t="s">
        <v>69</v>
      </c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91"/>
    </row>
    <row r="46" spans="2:17" s="20" customFormat="1" ht="15" customHeight="1">
      <c r="B46" s="185"/>
      <c r="C46" s="202" t="s">
        <v>113</v>
      </c>
      <c r="D46" s="202"/>
      <c r="E46" s="202"/>
      <c r="F46" s="202"/>
      <c r="G46" s="202"/>
      <c r="H46" s="202" t="s">
        <v>136</v>
      </c>
      <c r="I46" s="202"/>
      <c r="J46" s="202"/>
      <c r="K46" s="202"/>
      <c r="L46" s="203" t="s">
        <v>206</v>
      </c>
      <c r="M46" s="204"/>
      <c r="N46" s="204"/>
      <c r="O46" s="205"/>
      <c r="P46" s="9"/>
      <c r="Q46" s="51"/>
    </row>
    <row r="47" spans="2:17" s="20" customFormat="1" ht="15" customHeight="1">
      <c r="B47" s="185"/>
      <c r="C47" s="151" t="s">
        <v>114</v>
      </c>
      <c r="D47" s="152"/>
      <c r="E47" s="153"/>
      <c r="F47" s="150" t="s">
        <v>70</v>
      </c>
      <c r="G47" s="150"/>
      <c r="H47" s="151" t="s">
        <v>137</v>
      </c>
      <c r="I47" s="152"/>
      <c r="J47" s="153"/>
      <c r="K47" s="31" t="s">
        <v>70</v>
      </c>
      <c r="L47" s="151"/>
      <c r="M47" s="152"/>
      <c r="N47" s="153"/>
      <c r="O47" s="117"/>
      <c r="P47" s="32" t="s">
        <v>14</v>
      </c>
      <c r="Q47" s="52">
        <v>0</v>
      </c>
    </row>
    <row r="48" spans="2:17" s="20" customFormat="1" ht="15" customHeight="1">
      <c r="B48" s="185"/>
      <c r="C48" s="151" t="s">
        <v>71</v>
      </c>
      <c r="D48" s="152"/>
      <c r="E48" s="153"/>
      <c r="F48" s="149">
        <v>0.1</v>
      </c>
      <c r="G48" s="150"/>
      <c r="H48" s="150" t="s">
        <v>138</v>
      </c>
      <c r="I48" s="150"/>
      <c r="J48" s="150"/>
      <c r="K48" s="30">
        <v>0.1</v>
      </c>
      <c r="L48" s="151" t="s">
        <v>115</v>
      </c>
      <c r="M48" s="152"/>
      <c r="N48" s="153"/>
      <c r="O48" s="117" t="s">
        <v>70</v>
      </c>
      <c r="P48" s="32" t="s">
        <v>14</v>
      </c>
      <c r="Q48" s="52">
        <f>IF(Q44&lt;250001,0,IF(Q44&gt;500000,25000,((Q44-250000)*0.1)))</f>
        <v>25000</v>
      </c>
    </row>
    <row r="49" spans="1:18" s="20" customFormat="1" ht="15" customHeight="1">
      <c r="B49" s="185"/>
      <c r="C49" s="151" t="s">
        <v>72</v>
      </c>
      <c r="D49" s="152"/>
      <c r="E49" s="153"/>
      <c r="F49" s="149">
        <v>0.2</v>
      </c>
      <c r="G49" s="150"/>
      <c r="H49" s="150" t="s">
        <v>72</v>
      </c>
      <c r="I49" s="150"/>
      <c r="J49" s="150"/>
      <c r="K49" s="30">
        <v>0.2</v>
      </c>
      <c r="L49" s="151" t="s">
        <v>72</v>
      </c>
      <c r="M49" s="152"/>
      <c r="N49" s="153"/>
      <c r="O49" s="116">
        <v>0.2</v>
      </c>
      <c r="P49" s="32" t="s">
        <v>14</v>
      </c>
      <c r="Q49" s="52">
        <f>IF(Q44&lt;500001,0,IF(Q44&gt;1000000,100000,((Q44-500000)*0.2)))</f>
        <v>17480</v>
      </c>
    </row>
    <row r="50" spans="1:18" s="20" customFormat="1" ht="15" customHeight="1">
      <c r="B50" s="185"/>
      <c r="C50" s="206" t="s">
        <v>111</v>
      </c>
      <c r="D50" s="207"/>
      <c r="E50" s="208"/>
      <c r="F50" s="149">
        <v>0.3</v>
      </c>
      <c r="G50" s="150"/>
      <c r="H50" s="150" t="s">
        <v>112</v>
      </c>
      <c r="I50" s="150"/>
      <c r="J50" s="150"/>
      <c r="K50" s="30">
        <v>0.3</v>
      </c>
      <c r="L50" s="151" t="s">
        <v>112</v>
      </c>
      <c r="M50" s="152"/>
      <c r="N50" s="153"/>
      <c r="O50" s="116">
        <v>0.3</v>
      </c>
      <c r="P50" s="32" t="s">
        <v>14</v>
      </c>
      <c r="Q50" s="52">
        <f>IF(Q44&lt;1000001,0,((Q44-1000000)*0.3))</f>
        <v>0</v>
      </c>
    </row>
    <row r="51" spans="1:18" s="20" customFormat="1" ht="15" customHeight="1">
      <c r="B51" s="185"/>
      <c r="C51" s="197" t="s">
        <v>86</v>
      </c>
      <c r="D51" s="198"/>
      <c r="E51" s="198"/>
      <c r="F51" s="198"/>
      <c r="G51" s="198"/>
      <c r="H51" s="198"/>
      <c r="I51" s="198"/>
      <c r="J51" s="198"/>
      <c r="K51" s="198"/>
      <c r="L51" s="198"/>
      <c r="M51" s="198"/>
      <c r="N51" s="198"/>
      <c r="O51" s="199"/>
      <c r="P51" s="32" t="s">
        <v>14</v>
      </c>
      <c r="Q51" s="48">
        <f>SUM(Q47:Q50)</f>
        <v>42480</v>
      </c>
    </row>
    <row r="52" spans="1:18" s="20" customFormat="1" ht="15" customHeight="1">
      <c r="B52" s="185"/>
      <c r="C52" s="209" t="s">
        <v>142</v>
      </c>
      <c r="D52" s="210"/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11"/>
      <c r="P52" s="58" t="s">
        <v>14</v>
      </c>
      <c r="Q52" s="49">
        <f>IF(Q44&gt;500000,0,IF(Q51&lt;2001,Q51,2000))</f>
        <v>0</v>
      </c>
    </row>
    <row r="53" spans="1:18" s="20" customFormat="1" ht="15" customHeight="1">
      <c r="B53" s="185"/>
      <c r="C53" s="197" t="s">
        <v>140</v>
      </c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9"/>
      <c r="P53" s="58" t="s">
        <v>14</v>
      </c>
      <c r="Q53" s="48">
        <f>Q51-Q52</f>
        <v>42480</v>
      </c>
    </row>
    <row r="54" spans="1:18" s="20" customFormat="1" ht="15" customHeight="1">
      <c r="B54" s="185"/>
      <c r="C54" s="200" t="s">
        <v>141</v>
      </c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200"/>
      <c r="P54" s="32" t="s">
        <v>14</v>
      </c>
      <c r="Q54" s="49">
        <f>ROUND(Q53*0.03,0)</f>
        <v>1274</v>
      </c>
    </row>
    <row r="55" spans="1:18" s="20" customFormat="1" ht="15" customHeight="1">
      <c r="B55" s="170"/>
      <c r="C55" s="201" t="s">
        <v>143</v>
      </c>
      <c r="D55" s="201"/>
      <c r="E55" s="201"/>
      <c r="F55" s="201"/>
      <c r="G55" s="201"/>
      <c r="H55" s="201"/>
      <c r="I55" s="201"/>
      <c r="J55" s="201"/>
      <c r="K55" s="201"/>
      <c r="L55" s="201"/>
      <c r="M55" s="201"/>
      <c r="N55" s="201"/>
      <c r="O55" s="201"/>
      <c r="P55" s="32" t="s">
        <v>14</v>
      </c>
      <c r="Q55" s="48">
        <f>SUM(Q53:Q54)</f>
        <v>43754</v>
      </c>
    </row>
    <row r="56" spans="1:18" s="20" customFormat="1" ht="15" customHeight="1">
      <c r="B56" s="47">
        <v>17</v>
      </c>
      <c r="C56" s="145" t="s">
        <v>87</v>
      </c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7"/>
      <c r="P56" s="32" t="s">
        <v>14</v>
      </c>
      <c r="Q56" s="49">
        <f>'Other Deduction'!E15</f>
        <v>0</v>
      </c>
    </row>
    <row r="57" spans="1:18" s="20" customFormat="1" ht="15" customHeight="1">
      <c r="B57" s="47">
        <v>18</v>
      </c>
      <c r="C57" s="186" t="s">
        <v>116</v>
      </c>
      <c r="D57" s="186"/>
      <c r="E57" s="186"/>
      <c r="F57" s="186"/>
      <c r="G57" s="186"/>
      <c r="H57" s="186"/>
      <c r="I57" s="186"/>
      <c r="J57" s="186"/>
      <c r="K57" s="186"/>
      <c r="L57" s="186"/>
      <c r="M57" s="186"/>
      <c r="N57" s="186"/>
      <c r="O57" s="186"/>
      <c r="P57" s="32" t="s">
        <v>14</v>
      </c>
      <c r="Q57" s="48">
        <f>Q55-Q56</f>
        <v>43754</v>
      </c>
    </row>
    <row r="58" spans="1:18" ht="33.75" customHeight="1">
      <c r="B58" s="169">
        <v>19</v>
      </c>
      <c r="C58" s="222" t="s">
        <v>73</v>
      </c>
      <c r="D58" s="222"/>
      <c r="E58" s="223"/>
      <c r="F58" s="220" t="s">
        <v>153</v>
      </c>
      <c r="G58" s="220"/>
      <c r="H58" s="220"/>
      <c r="I58" s="220"/>
      <c r="J58" s="213" t="s">
        <v>154</v>
      </c>
      <c r="K58" s="221"/>
      <c r="L58" s="64" t="s">
        <v>155</v>
      </c>
      <c r="M58" s="213" t="s">
        <v>156</v>
      </c>
      <c r="N58" s="221"/>
      <c r="O58" s="29" t="s">
        <v>121</v>
      </c>
      <c r="P58" s="213" t="s">
        <v>74</v>
      </c>
      <c r="Q58" s="214"/>
    </row>
    <row r="59" spans="1:18">
      <c r="B59" s="170"/>
      <c r="C59" s="224"/>
      <c r="D59" s="224"/>
      <c r="E59" s="225"/>
      <c r="F59" s="215">
        <f>SUM(GA55A!AA10:AA16)</f>
        <v>17500</v>
      </c>
      <c r="G59" s="215"/>
      <c r="H59" s="215"/>
      <c r="I59" s="215"/>
      <c r="J59" s="215">
        <f>SUM(GA55A!AA17:AA19)</f>
        <v>7500</v>
      </c>
      <c r="K59" s="215"/>
      <c r="L59" s="27">
        <f>GA55A!AA20</f>
        <v>2500</v>
      </c>
      <c r="M59" s="215">
        <f>GA55A!AA21</f>
        <v>2500</v>
      </c>
      <c r="N59" s="215"/>
      <c r="O59" s="28">
        <f>SUM(GA55A!AA22:AA28)</f>
        <v>0</v>
      </c>
      <c r="P59" s="216">
        <f>F59+J59+L59+M59+O59</f>
        <v>30000</v>
      </c>
      <c r="Q59" s="217"/>
    </row>
    <row r="60" spans="1:18" ht="16.5" thickBot="1">
      <c r="B60" s="218" t="str">
        <f>IF(Q57&gt;P59,"Income Tax Payable",IF(Q57&lt;P59,"Income Tax Refundable","Income Tax Payble/Refundable"))</f>
        <v>Income Tax Payable</v>
      </c>
      <c r="C60" s="219"/>
      <c r="D60" s="219"/>
      <c r="E60" s="219"/>
      <c r="F60" s="219"/>
      <c r="G60" s="219"/>
      <c r="H60" s="219"/>
      <c r="I60" s="219"/>
      <c r="J60" s="219"/>
      <c r="K60" s="219"/>
      <c r="L60" s="219"/>
      <c r="M60" s="219"/>
      <c r="N60" s="219"/>
      <c r="O60" s="219"/>
      <c r="P60" s="53" t="s">
        <v>14</v>
      </c>
      <c r="Q60" s="54">
        <f>IF(Q57&gt;P59,Q57-P59,P59-Q57)</f>
        <v>13754</v>
      </c>
    </row>
    <row r="61" spans="1:18"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60"/>
      <c r="Q61" s="61"/>
    </row>
    <row r="62" spans="1:18" ht="16.5">
      <c r="B62" s="10"/>
      <c r="C62" s="11"/>
      <c r="D62" s="11"/>
      <c r="E62" s="62" t="s">
        <v>144</v>
      </c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2"/>
      <c r="Q62" s="13"/>
    </row>
    <row r="63" spans="1:18" ht="16.5">
      <c r="B63" s="10"/>
      <c r="C63" s="11"/>
      <c r="D63" s="11"/>
      <c r="E63" s="62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2"/>
      <c r="Q63" s="13"/>
    </row>
    <row r="64" spans="1:18" ht="15.75" customHeight="1">
      <c r="A64" s="109"/>
      <c r="B64" s="110"/>
      <c r="C64" s="212" t="s">
        <v>174</v>
      </c>
      <c r="D64" s="212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2"/>
      <c r="P64" s="212"/>
      <c r="Q64" s="212"/>
      <c r="R64" s="109"/>
    </row>
    <row r="65" spans="1:18">
      <c r="A65" s="109"/>
      <c r="B65" s="111"/>
      <c r="C65" s="212"/>
      <c r="D65" s="212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R65" s="109"/>
    </row>
    <row r="66" spans="1:18" ht="24" customHeight="1">
      <c r="A66" s="109"/>
      <c r="B66" s="110"/>
      <c r="C66" s="212"/>
      <c r="D66" s="212"/>
      <c r="E66" s="212"/>
      <c r="F66" s="212"/>
      <c r="G66" s="212"/>
      <c r="H66" s="212"/>
      <c r="I66" s="212"/>
      <c r="J66" s="212"/>
      <c r="K66" s="212"/>
      <c r="L66" s="212"/>
      <c r="M66" s="212"/>
      <c r="N66" s="212"/>
      <c r="O66" s="212"/>
      <c r="P66" s="212"/>
      <c r="Q66" s="212"/>
      <c r="R66" s="109"/>
    </row>
    <row r="67" spans="1:18" ht="15.75" customHeight="1">
      <c r="A67" s="109"/>
      <c r="B67" s="110"/>
      <c r="C67" s="112"/>
      <c r="D67" s="112"/>
      <c r="E67" s="112"/>
      <c r="F67" s="112"/>
      <c r="G67" s="112"/>
      <c r="H67" s="112"/>
      <c r="I67" s="112"/>
      <c r="J67" s="112"/>
      <c r="K67" s="112"/>
      <c r="L67" s="196" t="s">
        <v>173</v>
      </c>
      <c r="M67" s="196"/>
      <c r="N67" s="196"/>
      <c r="O67" s="196"/>
      <c r="P67" s="196"/>
      <c r="Q67" s="196"/>
      <c r="R67" s="109"/>
    </row>
    <row r="68" spans="1:18" ht="15.75" hidden="1" customHeight="1">
      <c r="A68" s="109"/>
      <c r="B68" s="110"/>
      <c r="C68" s="112"/>
      <c r="D68" s="112"/>
      <c r="E68" s="112"/>
      <c r="F68" s="112"/>
      <c r="G68" s="112"/>
      <c r="H68" s="112"/>
      <c r="I68" s="112"/>
      <c r="J68" s="112"/>
      <c r="K68" s="112"/>
      <c r="L68" s="196"/>
      <c r="M68" s="196"/>
      <c r="N68" s="196"/>
      <c r="O68" s="196"/>
      <c r="P68" s="196"/>
      <c r="Q68" s="196"/>
      <c r="R68" s="109"/>
    </row>
    <row r="69" spans="1:18" ht="15.75" hidden="1" customHeight="1">
      <c r="A69" s="109"/>
      <c r="B69" s="110"/>
      <c r="C69" s="112"/>
      <c r="D69" s="112"/>
      <c r="E69" s="112"/>
      <c r="F69" s="112"/>
      <c r="G69" s="112"/>
      <c r="H69" s="112"/>
      <c r="I69" s="112"/>
      <c r="J69" s="112"/>
      <c r="K69" s="112"/>
      <c r="L69" s="196"/>
      <c r="M69" s="196"/>
      <c r="N69" s="196"/>
      <c r="O69" s="196"/>
      <c r="P69" s="196"/>
      <c r="Q69" s="196"/>
      <c r="R69" s="109"/>
    </row>
    <row r="70" spans="1:18" ht="15.75" hidden="1" customHeight="1">
      <c r="A70" s="109"/>
      <c r="B70" s="110"/>
      <c r="C70" s="112"/>
      <c r="D70" s="112"/>
      <c r="E70" s="112"/>
      <c r="F70" s="112"/>
      <c r="G70" s="112"/>
      <c r="H70" s="112"/>
      <c r="I70" s="112"/>
      <c r="J70" s="112"/>
      <c r="K70" s="112"/>
      <c r="L70" s="196"/>
      <c r="M70" s="196"/>
      <c r="N70" s="196"/>
      <c r="O70" s="196"/>
      <c r="P70" s="196"/>
      <c r="Q70" s="196"/>
      <c r="R70" s="109"/>
    </row>
    <row r="71" spans="1:18" ht="15.75" hidden="1" customHeight="1">
      <c r="A71" s="109"/>
      <c r="B71" s="110"/>
      <c r="C71" s="112"/>
      <c r="D71" s="112"/>
      <c r="E71" s="112"/>
      <c r="F71" s="112"/>
      <c r="G71" s="112"/>
      <c r="H71" s="112"/>
      <c r="I71" s="112"/>
      <c r="J71" s="112"/>
      <c r="K71" s="112"/>
      <c r="L71" s="196"/>
      <c r="M71" s="196"/>
      <c r="N71" s="196"/>
      <c r="O71" s="196"/>
      <c r="P71" s="196"/>
      <c r="Q71" s="196"/>
      <c r="R71" s="109"/>
    </row>
    <row r="72" spans="1:18">
      <c r="A72" s="109"/>
      <c r="B72" s="111"/>
      <c r="C72" s="113"/>
      <c r="D72" s="138" t="s">
        <v>205</v>
      </c>
      <c r="E72" s="138"/>
      <c r="F72" s="138"/>
      <c r="G72" s="138"/>
      <c r="H72" s="138"/>
      <c r="I72" s="138"/>
      <c r="J72" s="138"/>
      <c r="K72" s="113"/>
      <c r="L72" s="196"/>
      <c r="M72" s="196"/>
      <c r="N72" s="196"/>
      <c r="O72" s="196"/>
      <c r="P72" s="196"/>
      <c r="Q72" s="196"/>
      <c r="R72" s="109"/>
    </row>
    <row r="73" spans="1:18">
      <c r="A73" s="109"/>
      <c r="B73" s="111"/>
      <c r="C73" s="113"/>
      <c r="D73" s="113"/>
      <c r="E73" s="113"/>
      <c r="F73" s="113"/>
      <c r="G73" s="113"/>
      <c r="H73" s="113"/>
      <c r="I73" s="113"/>
      <c r="J73" s="113"/>
      <c r="K73" s="113"/>
      <c r="L73" s="196"/>
      <c r="M73" s="196"/>
      <c r="N73" s="196"/>
      <c r="O73" s="196"/>
      <c r="P73" s="196"/>
      <c r="Q73" s="196"/>
      <c r="R73" s="109"/>
    </row>
    <row r="74" spans="1:18">
      <c r="A74" s="109"/>
      <c r="B74" s="111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4"/>
      <c r="Q74" s="115"/>
      <c r="R74" s="109"/>
    </row>
    <row r="75" spans="1:18">
      <c r="A75" s="109"/>
      <c r="B75" s="111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4"/>
      <c r="Q75" s="115"/>
      <c r="R75" s="109"/>
    </row>
    <row r="76" spans="1:18">
      <c r="A76" s="109"/>
      <c r="B76" s="111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4"/>
      <c r="Q76" s="115"/>
      <c r="R76" s="109"/>
    </row>
  </sheetData>
  <sheetProtection password="CF11" sheet="1" objects="1" scenarios="1" selectLockedCells="1"/>
  <customSheetViews>
    <customSheetView guid="{01E6FF9C-BB30-4C32-9D09-6DB93F11503E}" hiddenRows="1" hiddenColumns="1" topLeftCell="A37">
      <selection activeCell="N47" sqref="N47"/>
      <pageMargins left="0.28999999999999998" right="0.22" top="0.23622047244094491" bottom="0.27559055118110237" header="0.19685039370078741" footer="0.23622047244094491"/>
      <printOptions horizontalCentered="1"/>
      <pageSetup paperSize="9" scale="95" orientation="portrait" verticalDpi="300" r:id="rId1"/>
    </customSheetView>
    <customSheetView guid="{483AFC7C-A53B-4837-A853-31CBC6C9ED1B}" hiddenRows="1" hiddenColumns="1" topLeftCell="A37">
      <selection activeCell="N47" sqref="N47"/>
      <pageMargins left="0.28999999999999998" right="0.22" top="0.23622047244094491" bottom="0.27559055118110237" header="0.19685039370078741" footer="0.23622047244094491"/>
      <printOptions horizontalCentered="1"/>
      <pageSetup paperSize="9" scale="95" orientation="portrait" verticalDpi="300" r:id="rId2"/>
    </customSheetView>
  </customSheetViews>
  <mergeCells count="116">
    <mergeCell ref="M59:N59"/>
    <mergeCell ref="P59:Q59"/>
    <mergeCell ref="B60:O60"/>
    <mergeCell ref="C56:O56"/>
    <mergeCell ref="C57:O57"/>
    <mergeCell ref="F58:I58"/>
    <mergeCell ref="J58:K58"/>
    <mergeCell ref="M58:N58"/>
    <mergeCell ref="C58:E59"/>
    <mergeCell ref="B58:B59"/>
    <mergeCell ref="L67:Q73"/>
    <mergeCell ref="C51:O51"/>
    <mergeCell ref="C54:O54"/>
    <mergeCell ref="C55:O55"/>
    <mergeCell ref="B45:B55"/>
    <mergeCell ref="C45:Q45"/>
    <mergeCell ref="C46:G46"/>
    <mergeCell ref="H46:K46"/>
    <mergeCell ref="L46:O46"/>
    <mergeCell ref="C49:E49"/>
    <mergeCell ref="C50:E50"/>
    <mergeCell ref="C47:E47"/>
    <mergeCell ref="C48:E48"/>
    <mergeCell ref="F49:G49"/>
    <mergeCell ref="H49:J49"/>
    <mergeCell ref="L49:N49"/>
    <mergeCell ref="H48:J48"/>
    <mergeCell ref="L48:N48"/>
    <mergeCell ref="C52:O52"/>
    <mergeCell ref="C53:O53"/>
    <mergeCell ref="C64:Q66"/>
    <mergeCell ref="P58:Q58"/>
    <mergeCell ref="F59:I59"/>
    <mergeCell ref="J59:K59"/>
    <mergeCell ref="E12:G12"/>
    <mergeCell ref="E11:G11"/>
    <mergeCell ref="C11:D12"/>
    <mergeCell ref="D27:G27"/>
    <mergeCell ref="J27:M27"/>
    <mergeCell ref="C30:O30"/>
    <mergeCell ref="C31:O31"/>
    <mergeCell ref="B32:B41"/>
    <mergeCell ref="C32:Q32"/>
    <mergeCell ref="C33:O33"/>
    <mergeCell ref="C34:O34"/>
    <mergeCell ref="C35:O35"/>
    <mergeCell ref="C36:O36"/>
    <mergeCell ref="C37:O37"/>
    <mergeCell ref="C38:O38"/>
    <mergeCell ref="C41:O41"/>
    <mergeCell ref="C39:O39"/>
    <mergeCell ref="C40:O40"/>
    <mergeCell ref="B17:B31"/>
    <mergeCell ref="C17:Q17"/>
    <mergeCell ref="C18:Q18"/>
    <mergeCell ref="D19:G19"/>
    <mergeCell ref="K19:M19"/>
    <mergeCell ref="P19:Q27"/>
    <mergeCell ref="D20:G20"/>
    <mergeCell ref="K20:M20"/>
    <mergeCell ref="D21:G21"/>
    <mergeCell ref="K21:M21"/>
    <mergeCell ref="D22:G22"/>
    <mergeCell ref="K22:M22"/>
    <mergeCell ref="D23:G23"/>
    <mergeCell ref="K23:M23"/>
    <mergeCell ref="D24:G24"/>
    <mergeCell ref="K24:M24"/>
    <mergeCell ref="F47:G47"/>
    <mergeCell ref="H47:J47"/>
    <mergeCell ref="L47:N47"/>
    <mergeCell ref="F48:G48"/>
    <mergeCell ref="C29:O29"/>
    <mergeCell ref="B1:Q1"/>
    <mergeCell ref="B2:Q2"/>
    <mergeCell ref="C3:D3"/>
    <mergeCell ref="P3:Q3"/>
    <mergeCell ref="C4:O4"/>
    <mergeCell ref="C5:O5"/>
    <mergeCell ref="C6:O6"/>
    <mergeCell ref="C9:O9"/>
    <mergeCell ref="C7:L7"/>
    <mergeCell ref="M7:O7"/>
    <mergeCell ref="C8:L8"/>
    <mergeCell ref="M8:O8"/>
    <mergeCell ref="E3:J3"/>
    <mergeCell ref="L3:N3"/>
    <mergeCell ref="P7:Q7"/>
    <mergeCell ref="B7:B8"/>
    <mergeCell ref="B10:B12"/>
    <mergeCell ref="C10:J10"/>
    <mergeCell ref="K10:L10"/>
    <mergeCell ref="D72:J72"/>
    <mergeCell ref="M10:O10"/>
    <mergeCell ref="P10:Q12"/>
    <mergeCell ref="H11:J11"/>
    <mergeCell ref="K11:L11"/>
    <mergeCell ref="C13:O13"/>
    <mergeCell ref="C14:O14"/>
    <mergeCell ref="C15:O15"/>
    <mergeCell ref="C16:O16"/>
    <mergeCell ref="D25:G25"/>
    <mergeCell ref="K25:M25"/>
    <mergeCell ref="M11:O11"/>
    <mergeCell ref="H12:J12"/>
    <mergeCell ref="K12:L12"/>
    <mergeCell ref="M12:O12"/>
    <mergeCell ref="D26:G26"/>
    <mergeCell ref="K26:M26"/>
    <mergeCell ref="C42:O42"/>
    <mergeCell ref="C43:O43"/>
    <mergeCell ref="C44:O44"/>
    <mergeCell ref="F50:G50"/>
    <mergeCell ref="H50:J50"/>
    <mergeCell ref="L50:N50"/>
    <mergeCell ref="C28:O28"/>
  </mergeCells>
  <printOptions horizontalCentered="1"/>
  <pageMargins left="0.41" right="0.23622047244094499" top="0.23622047244094499" bottom="0.27559055118110198" header="0.196850393700787" footer="0.23622047244094499"/>
  <pageSetup paperSize="9" scale="85" orientation="portrait" verticalDpi="30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GA55A</vt:lpstr>
      <vt:lpstr>Other Deduction</vt:lpstr>
      <vt:lpstr>Computation</vt:lpstr>
      <vt:lpstr>Computation!Print_Area</vt:lpstr>
      <vt:lpstr>GA55A!Print_Area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</dc:creator>
  <cp:lastModifiedBy>CP</cp:lastModifiedBy>
  <cp:lastPrinted>2015-10-29T09:31:20Z</cp:lastPrinted>
  <dcterms:created xsi:type="dcterms:W3CDTF">2013-12-06T08:14:36Z</dcterms:created>
  <dcterms:modified xsi:type="dcterms:W3CDTF">2016-08-08T15:57:23Z</dcterms:modified>
</cp:coreProperties>
</file>