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13_ncr:1_{AC28E1F5-9926-40F4-9C78-C6379AEE08C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GA55A!$C$2:$AC$34</definedName>
    <definedName name="_xlnm.Print_Area" localSheetId="1">Master!$A$1:$D$16</definedName>
    <definedName name="_xlnm.Print_Area" localSheetId="3">'Other Deduction'!$A$1:$G$36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GA55A!$AE:$XFD</definedName>
    <definedName name="Z_01E6FF9C_BB30_4C32_9D09_6DB93F11503E_.wvu.Cols" localSheetId="3" hidden="1">'Other Deduction'!$G:$XFD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GA55A!$C$2:$AC$33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GA55A!$946:$1048576,GA55A!$34:$945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GA55A!$AE:$XFD</definedName>
    <definedName name="Z_483AFC7C_A53B_4837_A853_31CBC6C9ED1B_.wvu.Cols" localSheetId="3" hidden="1">'Other Deduction'!$G:$XFD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GA55A!$C$2:$AC$33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GA55A!$946:$1048576,GA55A!$34:$945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x - Personal View" guid="{483AFC7C-A53B-4837-A853-31CBC6C9ED1B}" mergeInterval="0" personalView="1" maximized="1" xWindow="1" yWindow="1" windowWidth="800" windowHeight="382" activeSheetId="1"/>
    <customWorkbookView name="Kalu Ram Kumawat - Personal View" guid="{01E6FF9C-BB30-4C32-9D09-6DB93F11503E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O24" i="2" l="1"/>
  <c r="H21" i="2"/>
  <c r="H24" i="2"/>
  <c r="R6" i="2"/>
  <c r="Y7" i="2"/>
  <c r="L7" i="2"/>
  <c r="M7" i="2"/>
  <c r="D22" i="2"/>
  <c r="O22" i="2" s="1"/>
  <c r="T8" i="2"/>
  <c r="P7" i="2"/>
  <c r="D8" i="2"/>
  <c r="H8" i="2" s="1"/>
  <c r="O7" i="2"/>
  <c r="S8" i="2" l="1"/>
  <c r="O8" i="2"/>
  <c r="H20" i="2"/>
  <c r="I8" i="2"/>
  <c r="Y27" i="2"/>
  <c r="Y26" i="2"/>
  <c r="Y25" i="2"/>
  <c r="Y22" i="2"/>
  <c r="Y21" i="2"/>
  <c r="Y20" i="2"/>
  <c r="Y15" i="2"/>
  <c r="M8" i="2"/>
  <c r="D26" i="3"/>
  <c r="AB34" i="2"/>
  <c r="M12" i="7"/>
  <c r="P15" i="7" s="1"/>
  <c r="E34" i="2"/>
  <c r="Y19" i="2"/>
  <c r="Y18" i="2"/>
  <c r="Y17" i="2"/>
  <c r="Y16" i="2"/>
  <c r="Y14" i="2"/>
  <c r="Y13" i="2"/>
  <c r="Y12" i="2"/>
  <c r="Y11" i="2"/>
  <c r="Y10" i="2"/>
  <c r="Y9" i="2"/>
  <c r="Y8" i="2"/>
  <c r="W17" i="2"/>
  <c r="R9" i="2" l="1"/>
  <c r="AA27" i="2"/>
  <c r="AA26" i="2"/>
  <c r="AA25" i="2"/>
  <c r="N27" i="2"/>
  <c r="N26" i="2"/>
  <c r="N25" i="2"/>
  <c r="AB27" i="2" l="1"/>
  <c r="AB25" i="2"/>
  <c r="AB26" i="2"/>
  <c r="U9" i="2"/>
  <c r="F19" i="1"/>
  <c r="Q8" i="2"/>
  <c r="Q9" i="2"/>
  <c r="R19" i="2"/>
  <c r="R18" i="2"/>
  <c r="R17" i="2"/>
  <c r="R16" i="2"/>
  <c r="R15" i="2"/>
  <c r="R14" i="2"/>
  <c r="R13" i="2"/>
  <c r="R12" i="2"/>
  <c r="R11" i="2"/>
  <c r="R10" i="2"/>
  <c r="R28" i="2" l="1"/>
  <c r="D9" i="2"/>
  <c r="U2" i="1"/>
  <c r="P8" i="1"/>
  <c r="Z9" i="2"/>
  <c r="O9" i="2" l="1"/>
  <c r="D23" i="2"/>
  <c r="H23" i="2" s="1"/>
  <c r="H9" i="2"/>
  <c r="S9" i="2"/>
  <c r="U3" i="1"/>
  <c r="I9" i="2"/>
  <c r="P9" i="1"/>
  <c r="Z10" i="2"/>
  <c r="Z11" i="2" s="1"/>
  <c r="Z12" i="2" s="1"/>
  <c r="Z13" i="2" s="1"/>
  <c r="Z14" i="2" s="1"/>
  <c r="Z15" i="2" s="1"/>
  <c r="Z16" i="2" s="1"/>
  <c r="Z17" i="2" s="1"/>
  <c r="Z18" i="2" s="1"/>
  <c r="Z19" i="2" s="1"/>
  <c r="X28" i="2" l="1"/>
  <c r="E15" i="1" s="1"/>
  <c r="Z28" i="2"/>
  <c r="D6" i="2" l="1"/>
  <c r="L3" i="7" s="1"/>
  <c r="P5" i="7"/>
  <c r="P34" i="7"/>
  <c r="V9" i="2"/>
  <c r="U28" i="2"/>
  <c r="P51" i="7"/>
  <c r="P43" i="3"/>
  <c r="P42" i="3"/>
  <c r="I13" i="1"/>
  <c r="I11" i="1"/>
  <c r="H29" i="3"/>
  <c r="H14" i="3"/>
  <c r="M6" i="2"/>
  <c r="AB6" i="2"/>
  <c r="AB5" i="2"/>
  <c r="T6" i="2"/>
  <c r="T5" i="2"/>
  <c r="M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N22" i="2" l="1"/>
  <c r="V10" i="2"/>
  <c r="W2" i="1"/>
  <c r="V2" i="1"/>
  <c r="W3" i="1"/>
  <c r="N29" i="3"/>
  <c r="N28" i="3"/>
  <c r="N27" i="3"/>
  <c r="N26" i="3"/>
  <c r="N25" i="3"/>
  <c r="N24" i="3"/>
  <c r="N23" i="3"/>
  <c r="H30" i="3"/>
  <c r="H28" i="3"/>
  <c r="H25" i="3"/>
  <c r="H24" i="3"/>
  <c r="H23" i="3"/>
  <c r="J6" i="1"/>
  <c r="J5" i="1"/>
  <c r="L3" i="3"/>
  <c r="M9" i="3"/>
  <c r="J10" i="2"/>
  <c r="K5" i="1" l="1"/>
  <c r="AA22" i="2"/>
  <c r="AB22" i="2" s="1"/>
  <c r="V11" i="2"/>
  <c r="Q9" i="1"/>
  <c r="R9" i="1" s="1"/>
  <c r="V3" i="1"/>
  <c r="Q8" i="1"/>
  <c r="R8" i="1" s="1"/>
  <c r="P17" i="3"/>
  <c r="P17" i="7"/>
  <c r="P3" i="3"/>
  <c r="K9" i="2"/>
  <c r="V12" i="2" l="1"/>
  <c r="O63" i="3"/>
  <c r="K10" i="2"/>
  <c r="K11" i="2" s="1"/>
  <c r="K12" i="2" s="1"/>
  <c r="K13" i="2" s="1"/>
  <c r="K14" i="2" s="1"/>
  <c r="K15" i="2" s="1"/>
  <c r="K16" i="2" s="1"/>
  <c r="K17" i="2" s="1"/>
  <c r="K18" i="2" s="1"/>
  <c r="K19" i="2" s="1"/>
  <c r="H27" i="3"/>
  <c r="V13" i="2" l="1"/>
  <c r="O54" i="7"/>
  <c r="K28" i="2"/>
  <c r="AA8" i="2"/>
  <c r="V14" i="2" l="1"/>
  <c r="T9" i="2"/>
  <c r="P9" i="2"/>
  <c r="A2" i="1"/>
  <c r="K14" i="3"/>
  <c r="M12" i="3"/>
  <c r="E14" i="3" s="1"/>
  <c r="E3" i="3"/>
  <c r="B1" i="3"/>
  <c r="J11" i="2"/>
  <c r="J12" i="2" s="1"/>
  <c r="J13" i="2" s="1"/>
  <c r="J14" i="2" s="1"/>
  <c r="J15" i="2" s="1"/>
  <c r="J16" i="2" s="1"/>
  <c r="J17" i="2" s="1"/>
  <c r="J18" i="2" s="1"/>
  <c r="J19" i="2" s="1"/>
  <c r="J9" i="2"/>
  <c r="M9" i="2"/>
  <c r="G9" i="2"/>
  <c r="F9" i="2"/>
  <c r="E9" i="2"/>
  <c r="E10" i="2"/>
  <c r="E11" i="2"/>
  <c r="E12" i="2"/>
  <c r="E13" i="2"/>
  <c r="E14" i="2"/>
  <c r="E15" i="2"/>
  <c r="E16" i="2"/>
  <c r="E17" i="2"/>
  <c r="E18" i="2"/>
  <c r="E19" i="2"/>
  <c r="AA9" i="2" l="1"/>
  <c r="V15" i="2"/>
  <c r="V16" i="2" s="1"/>
  <c r="J28" i="2"/>
  <c r="E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Q10" i="2"/>
  <c r="F10" i="2"/>
  <c r="F11" i="2" s="1"/>
  <c r="F12" i="2" s="1"/>
  <c r="F13" i="2" s="1"/>
  <c r="F14" i="2" s="1"/>
  <c r="F15" i="2" s="1"/>
  <c r="F16" i="2" s="1"/>
  <c r="F17" i="2" s="1"/>
  <c r="F18" i="2" s="1"/>
  <c r="F19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T10" i="2"/>
  <c r="T11" i="2" s="1"/>
  <c r="T12" i="2" s="1"/>
  <c r="T13" i="2" s="1"/>
  <c r="T14" i="2" s="1"/>
  <c r="T15" i="2" s="1"/>
  <c r="T16" i="2" s="1"/>
  <c r="T17" i="2" s="1"/>
  <c r="T18" i="2" s="1"/>
  <c r="T19" i="2" s="1"/>
  <c r="D10" i="2"/>
  <c r="N8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O10" i="2" l="1"/>
  <c r="H10" i="2"/>
  <c r="V4" i="1" s="1"/>
  <c r="S10" i="2"/>
  <c r="U4" i="1"/>
  <c r="I10" i="2"/>
  <c r="W4" i="1" s="1"/>
  <c r="P10" i="1"/>
  <c r="F28" i="2"/>
  <c r="M28" i="2"/>
  <c r="T28" i="2"/>
  <c r="G28" i="2"/>
  <c r="Q11" i="2"/>
  <c r="Q12" i="2" s="1"/>
  <c r="Q13" i="2" s="1"/>
  <c r="Q14" i="2" s="1"/>
  <c r="Q15" i="2" s="1"/>
  <c r="Q16" i="2" s="1"/>
  <c r="Q17" i="2" s="1"/>
  <c r="Q18" i="2" s="1"/>
  <c r="Q19" i="2" s="1"/>
  <c r="D11" i="2"/>
  <c r="N9" i="2"/>
  <c r="AB9" i="2" s="1"/>
  <c r="H11" i="2" l="1"/>
  <c r="O11" i="2"/>
  <c r="O20" i="2"/>
  <c r="AA20" i="2" s="1"/>
  <c r="S11" i="2"/>
  <c r="U5" i="1"/>
  <c r="V5" i="1"/>
  <c r="I11" i="2"/>
  <c r="W5" i="1" s="1"/>
  <c r="V17" i="2"/>
  <c r="P11" i="1"/>
  <c r="AA10" i="2"/>
  <c r="Q10" i="1"/>
  <c r="R10" i="1" s="1"/>
  <c r="Q28" i="2"/>
  <c r="H21" i="3" s="1"/>
  <c r="F54" i="7"/>
  <c r="H22" i="3"/>
  <c r="D12" i="2"/>
  <c r="N10" i="2"/>
  <c r="F63" i="3"/>
  <c r="M14" i="3"/>
  <c r="P15" i="3" s="1"/>
  <c r="H12" i="2" l="1"/>
  <c r="O12" i="2"/>
  <c r="I12" i="2"/>
  <c r="W6" i="1" s="1"/>
  <c r="S12" i="2"/>
  <c r="AF21" i="2"/>
  <c r="AG21" i="2" s="1"/>
  <c r="AB10" i="2"/>
  <c r="V18" i="2"/>
  <c r="U6" i="1"/>
  <c r="P12" i="1"/>
  <c r="AA11" i="2"/>
  <c r="Q11" i="1"/>
  <c r="R11" i="1" s="1"/>
  <c r="N20" i="2"/>
  <c r="AB20" i="2" s="1"/>
  <c r="J54" i="7"/>
  <c r="N11" i="2"/>
  <c r="D13" i="2"/>
  <c r="O13" i="2" l="1"/>
  <c r="H13" i="2"/>
  <c r="S13" i="2"/>
  <c r="AF22" i="2"/>
  <c r="AG22" i="2" s="1"/>
  <c r="I13" i="2"/>
  <c r="W7" i="1" s="1"/>
  <c r="AB11" i="2"/>
  <c r="N12" i="2"/>
  <c r="V19" i="2"/>
  <c r="V28" i="2" s="1"/>
  <c r="L54" i="7"/>
  <c r="U7" i="1"/>
  <c r="Q12" i="1"/>
  <c r="R12" i="1" s="1"/>
  <c r="V6" i="1"/>
  <c r="AA12" i="2"/>
  <c r="P13" i="1"/>
  <c r="J63" i="3"/>
  <c r="D14" i="2"/>
  <c r="O14" i="2" l="1"/>
  <c r="H14" i="2"/>
  <c r="V8" i="1" s="1"/>
  <c r="S14" i="2"/>
  <c r="AH22" i="2"/>
  <c r="AF23" i="2"/>
  <c r="AG23" i="2" s="1"/>
  <c r="I14" i="2"/>
  <c r="W8" i="1" s="1"/>
  <c r="AH21" i="2"/>
  <c r="N13" i="2"/>
  <c r="AB12" i="2"/>
  <c r="M54" i="7"/>
  <c r="P54" i="7" s="1"/>
  <c r="U8" i="1"/>
  <c r="Q13" i="1"/>
  <c r="R13" i="1" s="1"/>
  <c r="V7" i="1"/>
  <c r="AA13" i="2"/>
  <c r="P14" i="1"/>
  <c r="M63" i="3"/>
  <c r="L63" i="3"/>
  <c r="F11" i="1"/>
  <c r="D15" i="2"/>
  <c r="H15" i="2" l="1"/>
  <c r="O15" i="2"/>
  <c r="AA24" i="2"/>
  <c r="S15" i="2"/>
  <c r="I15" i="2"/>
  <c r="W9" i="1" s="1"/>
  <c r="AH23" i="2"/>
  <c r="AH25" i="2" s="1"/>
  <c r="L23" i="2"/>
  <c r="Y23" i="2" s="1"/>
  <c r="AG25" i="2"/>
  <c r="AB13" i="2"/>
  <c r="AF25" i="2"/>
  <c r="U9" i="1"/>
  <c r="N14" i="2"/>
  <c r="P15" i="1"/>
  <c r="AA14" i="2"/>
  <c r="Q14" i="1"/>
  <c r="R14" i="1" s="1"/>
  <c r="V9" i="1"/>
  <c r="P63" i="3"/>
  <c r="D16" i="2"/>
  <c r="O21" i="2" l="1"/>
  <c r="AA21" i="2" s="1"/>
  <c r="H16" i="2"/>
  <c r="O16" i="2"/>
  <c r="V10" i="1"/>
  <c r="N24" i="2"/>
  <c r="AB24" i="2" s="1"/>
  <c r="S16" i="2"/>
  <c r="I16" i="2"/>
  <c r="W10" i="1" s="1"/>
  <c r="AF26" i="2"/>
  <c r="P28" i="2" s="1"/>
  <c r="AB14" i="2"/>
  <c r="Y28" i="2"/>
  <c r="L28" i="2"/>
  <c r="N15" i="2"/>
  <c r="U10" i="1"/>
  <c r="P16" i="1"/>
  <c r="AA15" i="2"/>
  <c r="Q15" i="1"/>
  <c r="R15" i="1" s="1"/>
  <c r="AB8" i="2"/>
  <c r="D17" i="2"/>
  <c r="H17" i="2" s="1"/>
  <c r="O17" i="2" l="1"/>
  <c r="V11" i="1"/>
  <c r="N21" i="2"/>
  <c r="AB21" i="2" s="1"/>
  <c r="S17" i="2"/>
  <c r="I17" i="2"/>
  <c r="W11" i="1" s="1"/>
  <c r="N23" i="2"/>
  <c r="AA23" i="2"/>
  <c r="AB15" i="2"/>
  <c r="N16" i="2"/>
  <c r="U11" i="1"/>
  <c r="P17" i="1"/>
  <c r="AA16" i="2"/>
  <c r="Q16" i="1"/>
  <c r="R16" i="1" s="1"/>
  <c r="D18" i="2"/>
  <c r="H18" i="2" s="1"/>
  <c r="O18" i="2" l="1"/>
  <c r="I18" i="2"/>
  <c r="W12" i="1" s="1"/>
  <c r="V12" i="1"/>
  <c r="S18" i="2"/>
  <c r="AB16" i="2"/>
  <c r="AB23" i="2"/>
  <c r="N17" i="2"/>
  <c r="U12" i="1"/>
  <c r="AA17" i="2"/>
  <c r="Q17" i="1"/>
  <c r="R17" i="1" s="1"/>
  <c r="P18" i="1"/>
  <c r="D19" i="2"/>
  <c r="H19" i="2" s="1"/>
  <c r="O19" i="2" l="1"/>
  <c r="I19" i="2"/>
  <c r="V13" i="1"/>
  <c r="V14" i="1" s="1"/>
  <c r="D26" i="1" s="1"/>
  <c r="S19" i="2"/>
  <c r="S28" i="2" s="1"/>
  <c r="AB17" i="2"/>
  <c r="N18" i="2"/>
  <c r="U13" i="1"/>
  <c r="U14" i="1" s="1"/>
  <c r="P19" i="1"/>
  <c r="AA18" i="2"/>
  <c r="Q18" i="1"/>
  <c r="R18" i="1" s="1"/>
  <c r="D28" i="2"/>
  <c r="AB18" i="2" l="1"/>
  <c r="N19" i="2"/>
  <c r="N28" i="2" s="1"/>
  <c r="P4" i="7" s="1"/>
  <c r="M7" i="7" s="1"/>
  <c r="I28" i="2"/>
  <c r="I21" i="1" s="1"/>
  <c r="W13" i="1"/>
  <c r="W14" i="1" s="1"/>
  <c r="U16" i="1"/>
  <c r="D25" i="1"/>
  <c r="Q19" i="1"/>
  <c r="R19" i="1" s="1"/>
  <c r="R20" i="1" s="1"/>
  <c r="R21" i="1" s="1"/>
  <c r="I18" i="1" s="1"/>
  <c r="H28" i="2"/>
  <c r="P4" i="3" l="1"/>
  <c r="D30" i="1"/>
  <c r="U25" i="1" s="1"/>
  <c r="O28" i="2"/>
  <c r="H26" i="3" s="1"/>
  <c r="AA19" i="2"/>
  <c r="AB19" i="2" s="1"/>
  <c r="U19" i="1"/>
  <c r="U18" i="1"/>
  <c r="U27" i="1" s="1"/>
  <c r="D31" i="1" s="1"/>
  <c r="K9" i="1"/>
  <c r="K4" i="1" l="1"/>
  <c r="D29" i="1"/>
  <c r="U26" i="1"/>
  <c r="U28" i="1" s="1"/>
  <c r="D33" i="1" s="1"/>
  <c r="D34" i="1" s="1"/>
  <c r="W28" i="2"/>
  <c r="P40" i="3" s="1"/>
  <c r="P45" i="3" s="1"/>
  <c r="AA28" i="2" l="1"/>
  <c r="J9" i="1"/>
  <c r="F4" i="1" l="1"/>
  <c r="P6" i="7"/>
  <c r="P10" i="7" s="1"/>
  <c r="P11" i="7" s="1"/>
  <c r="P16" i="7" s="1"/>
  <c r="P18" i="7" s="1"/>
  <c r="I9" i="1"/>
  <c r="AB28" i="2"/>
  <c r="P6" i="3"/>
  <c r="M7" i="3" s="1"/>
  <c r="P10" i="3" s="1"/>
  <c r="K6" i="1" l="1"/>
  <c r="K7" i="1" s="1"/>
  <c r="H7" i="1" s="1"/>
  <c r="H10" i="1" s="1"/>
  <c r="P11" i="3"/>
  <c r="P16" i="3" s="1"/>
  <c r="P18" i="3" s="1"/>
  <c r="P23" i="7" l="1"/>
  <c r="P35" i="7" s="1"/>
  <c r="P36" i="7" s="1"/>
  <c r="P37" i="7" s="1"/>
  <c r="P42" i="7" l="1"/>
  <c r="P43" i="7"/>
  <c r="P44" i="7"/>
  <c r="P41" i="7"/>
  <c r="P45" i="7"/>
  <c r="P46" i="7" l="1"/>
  <c r="P47" i="7" s="1"/>
  <c r="N30" i="3"/>
  <c r="P31" i="3" l="1"/>
  <c r="A22" i="1"/>
  <c r="J10" i="1"/>
  <c r="P48" i="7" l="1"/>
  <c r="P49" i="7" s="1"/>
  <c r="D22" i="1"/>
  <c r="P34" i="3"/>
  <c r="P46" i="3" s="1"/>
  <c r="P47" i="3" s="1"/>
  <c r="P48" i="3" s="1"/>
  <c r="F15" i="1"/>
  <c r="P50" i="7" l="1"/>
  <c r="P52" i="7" s="1"/>
  <c r="P54" i="3"/>
  <c r="P53" i="3"/>
  <c r="P52" i="3"/>
  <c r="P55" i="7" l="1"/>
  <c r="B55" i="7"/>
  <c r="F9" i="1"/>
  <c r="P55" i="3"/>
  <c r="P56" i="3" l="1"/>
  <c r="P57" i="3" s="1"/>
  <c r="P58" i="3" s="1"/>
  <c r="P59" i="3" s="1"/>
  <c r="P61" i="3" l="1"/>
  <c r="F7" i="1" l="1"/>
  <c r="P64" i="3"/>
  <c r="D21" i="1" s="1"/>
  <c r="B64" i="3"/>
  <c r="A21" i="1" s="1"/>
</calcChain>
</file>

<file path=xl/sharedStrings.xml><?xml version="1.0" encoding="utf-8"?>
<sst xmlns="http://schemas.openxmlformats.org/spreadsheetml/2006/main" count="416" uniqueCount="356">
  <si>
    <t>PS Aarampura</t>
  </si>
  <si>
    <t>SI LOAN + INT</t>
  </si>
  <si>
    <t>Basic Pay</t>
  </si>
  <si>
    <t>Dearness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</si>
  <si>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</si>
  <si>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</si>
  <si>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</si>
  <si>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</si>
  <si>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</si>
  <si>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</si>
  <si>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</si>
  <si>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</si>
  <si>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</si>
  <si>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</si>
  <si>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</si>
  <si>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</si>
  <si>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</si>
  <si>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</si>
  <si>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</si>
  <si>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</si>
  <si>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</si>
  <si>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</si>
  <si>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</si>
  <si>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</si>
  <si>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</si>
  <si>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</si>
  <si>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</si>
  <si>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</si>
  <si>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</si>
  <si>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</si>
  <si>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</si>
  <si>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</si>
  <si>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</si>
  <si>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</si>
  <si>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</si>
  <si>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</si>
  <si>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</si>
  <si>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</si>
  <si>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</si>
  <si>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</si>
  <si>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</si>
  <si>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</si>
  <si>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</si>
  <si>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</si>
  <si>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</si>
  <si>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</si>
  <si>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</si>
  <si>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</si>
  <si>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</si>
  <si>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</si>
  <si>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</si>
  <si>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</si>
  <si>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</si>
  <si>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</si>
  <si>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</si>
  <si>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</si>
  <si>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</si>
  <si>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</si>
  <si>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</si>
  <si>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</si>
  <si>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</si>
  <si>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</si>
  <si>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</si>
  <si>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Leave  Pay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</si>
  <si>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</si>
  <si>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</si>
  <si>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</si>
  <si>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</si>
  <si>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</si>
  <si>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</si>
  <si>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</si>
  <si>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</si>
  <si>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</si>
  <si>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</si>
  <si>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</si>
  <si>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</si>
  <si>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</si>
  <si>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</si>
  <si>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</si>
  <si>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</si>
  <si>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</si>
  <si>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</si>
  <si>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</si>
  <si>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</si>
  <si>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</si>
  <si>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</si>
  <si>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</si>
  <si>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</si>
  <si>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</si>
  <si>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</si>
  <si>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</si>
  <si>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</si>
  <si>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</si>
  <si>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</si>
  <si>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</si>
  <si>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</si>
  <si>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</si>
  <si>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</si>
  <si>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</si>
  <si>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</si>
  <si>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 xml:space="preserve"> NPS Employee </t>
    </r>
    <r>
      <rPr>
        <sz val="14"/>
        <rFont val="DevLys 010"/>
      </rPr>
      <t xml:space="preserve">ds fy, ldy vk; esa </t>
    </r>
    <r>
      <rPr>
        <sz val="12"/>
        <rFont val="Calibri"/>
        <family val="2"/>
        <scheme val="minor"/>
      </rPr>
      <t xml:space="preserve">Govt. Contribution Pension Fund </t>
    </r>
    <r>
      <rPr>
        <sz val="14"/>
        <rFont val="DevLys 010"/>
      </rPr>
      <t>dh jkf'k tksM+h x;h gSA</t>
    </r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</si>
  <si>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</si>
  <si>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</si>
  <si>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</si>
  <si>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</si>
  <si>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</si>
  <si>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</si>
  <si>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</si>
  <si>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</si>
  <si>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</si>
  <si>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</si>
  <si>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</si>
  <si>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r>
      <t>19- LVs.MMZ fMMsD'ku :i;s</t>
    </r>
    <r>
      <rPr>
        <sz val="13"/>
        <rFont val="Times New Roman"/>
        <family val="1"/>
      </rPr>
      <t xml:space="preserve">  </t>
    </r>
    <r>
      <rPr>
        <sz val="11"/>
        <rFont val="Times New Roman"/>
        <family val="1"/>
      </rPr>
      <t>50,000</t>
    </r>
    <r>
      <rPr>
        <sz val="13"/>
        <rFont val="DevLys 010"/>
      </rPr>
      <t xml:space="preserve"> ¼vf/kdre½ /kkjk </t>
    </r>
    <r>
      <rPr>
        <sz val="11"/>
        <rFont val="Times New Roman"/>
        <family val="1"/>
      </rPr>
      <t>16 (ia)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</si>
  <si>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</si>
  <si>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</si>
  <si>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</si>
  <si>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</si>
  <si>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</si>
  <si>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</si>
  <si>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</si>
  <si>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</si>
  <si>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</si>
  <si>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</si>
  <si>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</si>
  <si>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</si>
  <si>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</si>
  <si>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</si>
  <si>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</si>
  <si>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</si>
  <si>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</si>
  <si>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</si>
  <si>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</si>
  <si>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</si>
  <si>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</si>
  <si>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</si>
  <si>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</si>
  <si>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</si>
  <si>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</si>
  <si>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</si>
  <si>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</si>
  <si>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</si>
  <si>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</si>
  <si>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</si>
  <si>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</si>
  <si>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</si>
  <si>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</si>
  <si>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</si>
  <si>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</si>
  <si>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</si>
  <si>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r>
      <rPr>
        <sz val="12"/>
        <rFont val="Calibri"/>
        <family val="2"/>
        <scheme val="minor"/>
      </rPr>
      <t xml:space="preserve">NPS Employee </t>
    </r>
    <r>
      <rPr>
        <sz val="14"/>
        <rFont val="DevLys 010"/>
      </rPr>
      <t xml:space="preserve">ds fy, </t>
    </r>
    <r>
      <rPr>
        <sz val="12"/>
        <rFont val="Calibri"/>
        <family val="2"/>
        <scheme val="minor"/>
      </rPr>
      <t xml:space="preserve">Computation Sheet </t>
    </r>
    <r>
      <rPr>
        <sz val="14"/>
        <rFont val="DevLys 010"/>
      </rPr>
      <t>dh</t>
    </r>
    <r>
      <rPr>
        <sz val="12"/>
        <rFont val="Calibri"/>
        <family val="2"/>
        <scheme val="minor"/>
      </rPr>
      <t xml:space="preserve"> Gross Salary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 Govt. Contribution Fund </t>
    </r>
    <r>
      <rPr>
        <sz val="14"/>
        <rFont val="DevLys 010"/>
      </rPr>
      <t xml:space="preserve"> dh jkf'k tksM+h x;h gSA</t>
    </r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</si>
  <si>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</si>
  <si>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</si>
  <si>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</si>
  <si>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</si>
  <si>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</si>
  <si>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</si>
  <si>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</si>
  <si>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</si>
  <si>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</si>
  <si>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</si>
  <si>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</si>
  <si>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t xml:space="preserve">nks ;k nks ls vf/kd </t>
    </r>
    <r>
      <rPr>
        <b/>
        <sz val="12"/>
        <color rgb="FF7030A0"/>
        <rFont val="Calibri"/>
        <family val="2"/>
        <scheme val="minor"/>
      </rPr>
      <t xml:space="preserve">DDO </t>
    </r>
    <r>
      <rPr>
        <b/>
        <sz val="14"/>
        <color rgb="FF7030A0"/>
        <rFont val="DevLys 010"/>
      </rPr>
      <t xml:space="preserve">ds v/khu lsok gksus ij QkWeZ ua- 16 vyx vyx izkIr djus ds fy, </t>
    </r>
    <r>
      <rPr>
        <b/>
        <sz val="12"/>
        <color rgb="FF7030A0"/>
        <rFont val="Calibri"/>
        <family val="2"/>
        <scheme val="minor"/>
      </rPr>
      <t xml:space="preserve">GA 55 </t>
    </r>
    <r>
      <rPr>
        <b/>
        <sz val="14"/>
        <color rgb="FF7030A0"/>
        <rFont val="DevLys 010"/>
      </rPr>
      <t xml:space="preserve">vyx vyx rS;kj djuk gksxkA blds fy, </t>
    </r>
    <r>
      <rPr>
        <b/>
        <sz val="12"/>
        <color rgb="FF7030A0"/>
        <rFont val="Calibri"/>
        <family val="2"/>
        <scheme val="minor"/>
      </rPr>
      <t xml:space="preserve">GA </t>
    </r>
    <r>
      <rPr>
        <b/>
        <sz val="14"/>
        <color rgb="FF7030A0"/>
        <rFont val="DevLys 010"/>
      </rPr>
      <t xml:space="preserve">55 esa vko';d iwfrZ djrs gq, 'ks"k </t>
    </r>
    <r>
      <rPr>
        <b/>
        <sz val="12"/>
        <color rgb="FF7030A0"/>
        <rFont val="Calibri"/>
        <family val="2"/>
        <scheme val="minor"/>
      </rPr>
      <t xml:space="preserve">ROW </t>
    </r>
    <r>
      <rPr>
        <b/>
        <sz val="14"/>
        <color rgb="FF7030A0"/>
        <rFont val="DevLys 010"/>
      </rPr>
      <t xml:space="preserve">dks [kkyh NksM+ nsaA </t>
    </r>
    <r>
      <rPr>
        <b/>
        <sz val="12"/>
        <color rgb="FF7030A0"/>
        <rFont val="Calibri"/>
        <family val="2"/>
        <scheme val="minor"/>
      </rPr>
      <t>Other Deduction Sheet</t>
    </r>
    <r>
      <rPr>
        <b/>
        <sz val="14"/>
        <color rgb="FF7030A0"/>
        <rFont val="DevLys 010"/>
      </rPr>
      <t xml:space="preserve"> esa</t>
    </r>
    <r>
      <rPr>
        <b/>
        <sz val="12"/>
        <color rgb="FF7030A0"/>
        <rFont val="Calibri"/>
        <family val="2"/>
        <scheme val="minor"/>
      </rPr>
      <t xml:space="preserve">  Standard Deduction</t>
    </r>
    <r>
      <rPr>
        <b/>
        <sz val="14"/>
        <color rgb="FF7030A0"/>
        <rFont val="DevLys 010"/>
      </rPr>
      <t xml:space="preserve"> 0 ;k 50000 pqusaA </t>
    </r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</si>
  <si>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</si>
  <si>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</si>
  <si>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r>
      <t xml:space="preserve">D;k vki </t>
    </r>
    <r>
      <rPr>
        <b/>
        <sz val="12"/>
        <color rgb="FF0000FF"/>
        <rFont val="Calibri"/>
        <family val="2"/>
        <scheme val="minor"/>
      </rPr>
      <t xml:space="preserve">NPS Employee </t>
    </r>
    <r>
      <rPr>
        <b/>
        <sz val="14"/>
        <color rgb="FF0000FF"/>
        <rFont val="DevLys 010"/>
      </rPr>
      <t>gS \</t>
    </r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</si>
  <si>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</si>
  <si>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</si>
  <si>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</si>
  <si>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</si>
  <si>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</si>
  <si>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</si>
  <si>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</si>
  <si>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</si>
  <si>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</si>
  <si>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</si>
  <si>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</si>
  <si>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</si>
  <si>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</si>
  <si>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</si>
  <si>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</si>
  <si>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</si>
  <si>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</si>
  <si>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</si>
  <si>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</si>
  <si>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</si>
  <si>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</si>
  <si>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</si>
  <si>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</si>
  <si>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</si>
  <si>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</si>
  <si>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</si>
  <si>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</si>
  <si>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</si>
  <si>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</si>
  <si>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</si>
  <si>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</si>
  <si>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</si>
  <si>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</si>
  <si>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</si>
  <si>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</si>
  <si>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</si>
  <si>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</si>
  <si>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</si>
  <si>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</si>
  <si>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>HRA Chargeable to Tax</t>
  </si>
  <si>
    <t>Calculate Your HRA Exemption</t>
  </si>
  <si>
    <r>
      <t xml:space="preserve">Total Rent Paid </t>
    </r>
    <r>
      <rPr>
        <sz val="9"/>
        <rFont val="Calibri"/>
        <family val="2"/>
        <scheme val="minor"/>
      </rPr>
      <t>(12 Month)</t>
    </r>
  </si>
  <si>
    <r>
      <t>Dearness Allowance (DA) Received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(12 Month)</t>
    </r>
  </si>
  <si>
    <r>
      <t xml:space="preserve">Basic Salary Received </t>
    </r>
    <r>
      <rPr>
        <sz val="9"/>
        <rFont val="Calibri"/>
        <family val="2"/>
        <scheme val="minor"/>
      </rPr>
      <t>(12 Month)</t>
    </r>
  </si>
  <si>
    <r>
      <t xml:space="preserve">HRA Received </t>
    </r>
    <r>
      <rPr>
        <sz val="9"/>
        <rFont val="Calibri"/>
        <family val="2"/>
        <scheme val="minor"/>
      </rPr>
      <t>(12 Month)</t>
    </r>
  </si>
  <si>
    <r>
      <t xml:space="preserve">40% of Salary </t>
    </r>
    <r>
      <rPr>
        <sz val="10"/>
        <rFont val="Calibri"/>
        <family val="2"/>
        <scheme val="minor"/>
      </rPr>
      <t>(Basic +DA)</t>
    </r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</si>
  <si>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</si>
  <si>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</si>
  <si>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</si>
  <si>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</si>
  <si>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</si>
  <si>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</si>
  <si>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</si>
  <si>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</si>
  <si>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</si>
  <si>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</si>
  <si>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</si>
  <si>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</si>
  <si>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</si>
  <si>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</si>
  <si>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</si>
  <si>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</si>
  <si>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</si>
  <si>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</si>
  <si>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</si>
  <si>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</si>
  <si>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</si>
  <si>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</si>
  <si>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</si>
  <si>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</si>
  <si>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</si>
  <si>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</si>
  <si>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</si>
  <si>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</si>
  <si>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</si>
  <si>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</si>
  <si>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</si>
  <si>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</si>
  <si>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</si>
  <si>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</si>
  <si>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</si>
  <si>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</si>
  <si>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</si>
  <si>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</si>
  <si>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</si>
  <si>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</si>
  <si>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</si>
  <si>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</si>
  <si>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</si>
  <si>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</si>
  <si>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</si>
  <si>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</si>
  <si>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</si>
  <si>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</si>
  <si>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</si>
  <si>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</si>
  <si>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</si>
  <si>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</si>
  <si>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</si>
  <si>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</si>
  <si>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</si>
  <si>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</si>
  <si>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</si>
  <si>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</si>
  <si>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</si>
  <si>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</si>
  <si>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</si>
  <si>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</si>
  <si>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</si>
  <si>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</si>
  <si>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</si>
  <si>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</si>
  <si>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</si>
  <si>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</si>
  <si>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</si>
  <si>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</si>
  <si>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</si>
  <si>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</si>
  <si>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</si>
  <si>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</si>
  <si>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</si>
  <si>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</si>
  <si>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</si>
  <si>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</si>
  <si>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</si>
  <si>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</si>
  <si>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lkHkkj % pUnz izdk'k dqehZZ izk/;kid HkkSfrdh] jk-m-ek-fo- VksMkjk;flag ¼Vksad½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</si>
  <si>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</si>
  <si>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</si>
  <si>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</si>
  <si>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</si>
  <si>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</si>
  <si>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</si>
  <si>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</si>
  <si>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</si>
  <si>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</si>
  <si>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</si>
  <si>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</si>
  <si>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</si>
  <si>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</si>
  <si>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</si>
  <si>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</si>
  <si>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</si>
  <si>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Other Deduction 2</t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</si>
  <si>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2023-24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</si>
  <si>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2023</t>
    </r>
    <r>
      <rPr>
        <b/>
        <sz val="14"/>
        <color rgb="FF002060"/>
        <rFont val="DevLys 010"/>
      </rPr>
      <t xml:space="preserve"> dk ewy osru %</t>
    </r>
  </si>
  <si>
    <t>D;k vkius fofÙk; o"kZ 2023&amp;24 esa lefZiZr fy;k gS \</t>
  </si>
  <si>
    <r>
      <t xml:space="preserve">D;k vkidks osru </t>
    </r>
    <r>
      <rPr>
        <b/>
        <sz val="13"/>
        <color rgb="FF0000FF"/>
        <rFont val="Calibri"/>
        <family val="2"/>
        <scheme val="minor"/>
      </rPr>
      <t xml:space="preserve">PD </t>
    </r>
    <r>
      <rPr>
        <b/>
        <sz val="14"/>
        <color rgb="FF0000FF"/>
        <rFont val="DevLys 010"/>
      </rPr>
      <t xml:space="preserve">gsM ls feyrk gS </t>
    </r>
    <r>
      <rPr>
        <b/>
        <sz val="12"/>
        <color rgb="FF0000FF"/>
        <rFont val="Calibri"/>
        <family val="2"/>
        <scheme val="minor"/>
      </rPr>
      <t>?</t>
    </r>
  </si>
  <si>
    <t>GPF No :</t>
  </si>
  <si>
    <t>Mobile No :</t>
  </si>
  <si>
    <t xml:space="preserve"> Rate of HRA : </t>
  </si>
  <si>
    <t>lefZiZr fcy cukus dk ekg %</t>
  </si>
  <si>
    <t>Pensioner</t>
  </si>
  <si>
    <t>Salary and Deduction Detail for FY : 2023-24</t>
  </si>
  <si>
    <t>Bonus
2022-23</t>
  </si>
  <si>
    <t>DA Arrear 1/23 to 3/23</t>
  </si>
  <si>
    <t>DA Arrear 7/23 to 10/23</t>
  </si>
  <si>
    <r>
      <t xml:space="preserve">3,00,000  </t>
    </r>
    <r>
      <rPr>
        <sz val="11"/>
        <color rgb="FF002060"/>
        <rFont val="DevLys 010"/>
      </rPr>
      <t>rd</t>
    </r>
  </si>
  <si>
    <t>3,00,001-6,00,000</t>
  </si>
  <si>
    <t>6,00,001-9,00,000</t>
  </si>
  <si>
    <t>9,00,001-12,00,000</t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</si>
  <si>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</si>
  <si>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</si>
  <si>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</si>
  <si>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2023-24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>½</t>
    </r>
  </si>
  <si>
    <r>
      <t>vk; %  o"kZ&amp;</t>
    </r>
    <r>
      <rPr>
        <sz val="10"/>
        <color rgb="FF002060"/>
        <rFont val="Calibri"/>
        <family val="2"/>
        <scheme val="minor"/>
      </rPr>
      <t>2023-24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</si>
  <si>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</si>
  <si>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</si>
  <si>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</si>
  <si>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</si>
  <si>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</si>
  <si>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</si>
  <si>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</si>
  <si>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</si>
  <si>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</si>
  <si>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</si>
  <si>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</si>
  <si>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</si>
  <si>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</si>
  <si>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</si>
  <si>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r>
      <t>vk; %  o"kZ&amp;</t>
    </r>
    <r>
      <rPr>
        <sz val="10"/>
        <color rgb="FF002060"/>
        <rFont val="Calibri"/>
        <family val="2"/>
        <scheme val="minor"/>
      </rPr>
      <t xml:space="preserve"> 2023-24</t>
    </r>
    <r>
      <rPr>
        <sz val="12"/>
        <color rgb="FF002060"/>
        <rFont val="DevLys 010"/>
      </rPr>
      <t xml:space="preserve"> esa izkIr dqy osru ¼dj ;ksX; lqfo/kkvksa ds eqY; lfgr ½</t>
    </r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</si>
  <si>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</si>
  <si>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</si>
  <si>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
rd  :i;s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</si>
  <si>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2023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</si>
  <si>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</si>
  <si>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:i;s</t>
    </r>
  </si>
  <si>
    <t>ABCD</t>
  </si>
  <si>
    <t>Surrender Arrear</t>
  </si>
  <si>
    <t>Surrender
2023-24</t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</si>
  <si>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 / Marginal Relief U/S 115 BAC (1A)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</si>
</sst>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#,##0_ ;\-#,##0\ 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78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b/>
      <sz val="11"/>
      <name val="DevLys 010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7030A0"/>
      <name val="DevLys 010"/>
    </font>
    <font>
      <b/>
      <sz val="12"/>
      <color rgb="FF7030A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3"/>
      <color rgb="FF0000FF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24"/>
      <color rgb="FF002060"/>
      <name val="DevLys 010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D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61" fillId="0" borderId="0" applyFont="0" applyFill="0" applyBorder="0" applyAlignment="0" applyProtection="0"/>
    <xf numFmtId="164" fontId="83" fillId="0" borderId="0" applyFont="0" applyFill="0" applyBorder="0" applyAlignment="0" applyProtection="0"/>
    <xf numFmtId="44" fontId="83" fillId="0" borderId="0" applyFont="0" applyFill="0" applyBorder="0" applyAlignment="0" applyProtection="0"/>
  </cellStyleXfs>
  <cellXfs count="533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5" fillId="0" borderId="0" xfId="37" applyFont="1"/>
    <xf numFmtId="0" fontId="24" fillId="0" borderId="0" xfId="37" applyFont="1" applyAlignment="1">
      <alignment horizontal="right"/>
    </xf>
    <xf numFmtId="0" fontId="25" fillId="0" borderId="0" xfId="37" applyFont="1" applyAlignment="1">
      <alignment horizontal="right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center" vertical="center" textRotation="90"/>
    </xf>
    <xf numFmtId="0" fontId="27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9" fillId="0" borderId="0" xfId="37" applyNumberFormat="1" applyFont="1" applyAlignment="1">
      <alignment horizontal="right" vertical="center"/>
    </xf>
    <xf numFmtId="0" fontId="4" fillId="25" borderId="0" xfId="0" applyFont="1" applyFill="1" applyAlignment="1">
      <alignment horizontal="left" vertical="top"/>
    </xf>
    <xf numFmtId="0" fontId="39" fillId="25" borderId="0" xfId="0" applyFont="1" applyFill="1" applyAlignment="1">
      <alignment horizontal="left" vertical="top"/>
    </xf>
    <xf numFmtId="0" fontId="38" fillId="25" borderId="0" xfId="0" applyFont="1" applyFill="1" applyAlignment="1" applyProtection="1">
      <alignment horizontal="center" vertical="center"/>
      <protection locked="0"/>
    </xf>
    <xf numFmtId="0" fontId="39" fillId="25" borderId="0" xfId="0" applyFont="1" applyFill="1" applyAlignment="1">
      <alignment horizontal="left" vertical="top" indent="1"/>
    </xf>
    <xf numFmtId="0" fontId="43" fillId="25" borderId="0" xfId="0" applyFont="1" applyFill="1" applyAlignment="1">
      <alignment horizontal="center"/>
    </xf>
    <xf numFmtId="0" fontId="37" fillId="25" borderId="0" xfId="0" applyFont="1" applyFill="1" applyAlignment="1">
      <alignment horizontal="left" vertical="top"/>
    </xf>
    <xf numFmtId="0" fontId="23" fillId="25" borderId="0" xfId="0" applyFont="1" applyFill="1" applyAlignment="1" applyProtection="1">
      <alignment horizontal="center" vertical="center"/>
      <protection locked="0"/>
    </xf>
    <xf numFmtId="0" fontId="4" fillId="25" borderId="0" xfId="0" applyFont="1" applyFill="1" applyAlignment="1">
      <alignment vertical="top"/>
    </xf>
    <xf numFmtId="0" fontId="30" fillId="25" borderId="0" xfId="0" applyFont="1" applyFill="1" applyAlignment="1">
      <alignment vertical="center"/>
    </xf>
    <xf numFmtId="0" fontId="34" fillId="25" borderId="0" xfId="0" applyFont="1" applyFill="1" applyAlignment="1">
      <alignment horizontal="center" vertical="center" textRotation="90"/>
    </xf>
    <xf numFmtId="0" fontId="3" fillId="25" borderId="0" xfId="0" applyFont="1" applyFill="1" applyAlignment="1">
      <alignment vertical="top" textRotation="90"/>
    </xf>
    <xf numFmtId="0" fontId="0" fillId="25" borderId="0" xfId="0" applyFill="1"/>
    <xf numFmtId="0" fontId="25" fillId="25" borderId="0" xfId="37" applyFont="1" applyFill="1"/>
    <xf numFmtId="0" fontId="24" fillId="25" borderId="0" xfId="37" applyFont="1" applyFill="1" applyAlignment="1">
      <alignment horizontal="right"/>
    </xf>
    <xf numFmtId="0" fontId="25" fillId="25" borderId="0" xfId="37" applyFont="1" applyFill="1" applyAlignment="1">
      <alignment horizontal="right"/>
    </xf>
    <xf numFmtId="2" fontId="48" fillId="28" borderId="0" xfId="0" applyNumberFormat="1" applyFont="1" applyFill="1" applyAlignment="1">
      <alignment horizontal="left" vertical="center" indent="1"/>
    </xf>
    <xf numFmtId="2" fontId="48" fillId="28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8" fillId="29" borderId="0" xfId="0" applyNumberFormat="1" applyFont="1" applyFill="1" applyAlignment="1">
      <alignment horizontal="left" indent="1"/>
    </xf>
    <xf numFmtId="2" fontId="28" fillId="29" borderId="0" xfId="0" applyNumberFormat="1" applyFont="1" applyFill="1" applyAlignment="1">
      <alignment horizontal="left"/>
    </xf>
    <xf numFmtId="2" fontId="48" fillId="29" borderId="0" xfId="0" applyNumberFormat="1" applyFont="1" applyFill="1" applyAlignment="1">
      <alignment horizontal="left" vertical="center" indent="1"/>
    </xf>
    <xf numFmtId="2" fontId="48" fillId="29" borderId="0" xfId="0" applyNumberFormat="1" applyFont="1" applyFill="1" applyAlignment="1">
      <alignment horizontal="left" wrapText="1" indent="1"/>
    </xf>
    <xf numFmtId="2" fontId="29" fillId="0" borderId="0" xfId="0" applyNumberFormat="1" applyFont="1"/>
    <xf numFmtId="1" fontId="29" fillId="0" borderId="0" xfId="0" applyNumberFormat="1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4" fillId="25" borderId="0" xfId="0" applyFont="1" applyFill="1" applyAlignment="1">
      <alignment horizontal="center" textRotation="90" wrapText="1"/>
    </xf>
    <xf numFmtId="0" fontId="34" fillId="0" borderId="0" xfId="0" applyFont="1" applyAlignment="1">
      <alignment horizontal="center" textRotation="90" wrapText="1"/>
    </xf>
    <xf numFmtId="2" fontId="1" fillId="32" borderId="0" xfId="0" applyNumberFormat="1" applyFont="1" applyFill="1"/>
    <xf numFmtId="2" fontId="29" fillId="32" borderId="0" xfId="0" applyNumberFormat="1" applyFont="1" applyFill="1"/>
    <xf numFmtId="2" fontId="48" fillId="29" borderId="38" xfId="0" applyNumberFormat="1" applyFont="1" applyFill="1" applyBorder="1" applyAlignment="1">
      <alignment horizontal="left" indent="1"/>
    </xf>
    <xf numFmtId="2" fontId="48" fillId="28" borderId="38" xfId="0" applyNumberFormat="1" applyFont="1" applyFill="1" applyBorder="1" applyAlignment="1">
      <alignment horizontal="left" vertical="center" wrapText="1" indent="1"/>
    </xf>
    <xf numFmtId="2" fontId="48" fillId="28" borderId="38" xfId="0" applyNumberFormat="1" applyFont="1" applyFill="1" applyBorder="1" applyAlignment="1">
      <alignment horizontal="left" vertical="center" indent="1"/>
    </xf>
    <xf numFmtId="2" fontId="48" fillId="28" borderId="38" xfId="0" applyNumberFormat="1" applyFont="1" applyFill="1" applyBorder="1" applyAlignment="1">
      <alignment horizontal="left" indent="1"/>
    </xf>
    <xf numFmtId="0" fontId="55" fillId="0" borderId="0" xfId="37" applyFont="1" applyAlignment="1">
      <alignment vertical="top"/>
    </xf>
    <xf numFmtId="0" fontId="23" fillId="0" borderId="0" xfId="0" applyFont="1" applyAlignment="1">
      <alignment horizontal="center" vertical="top"/>
    </xf>
    <xf numFmtId="0" fontId="29" fillId="31" borderId="0" xfId="0" applyFont="1" applyFill="1"/>
    <xf numFmtId="0" fontId="47" fillId="31" borderId="0" xfId="0" applyFont="1" applyFill="1" applyAlignment="1">
      <alignment horizontal="right" indent="1"/>
    </xf>
    <xf numFmtId="0" fontId="29" fillId="31" borderId="0" xfId="0" applyFont="1" applyFill="1" applyAlignment="1">
      <alignment horizontal="right"/>
    </xf>
    <xf numFmtId="0" fontId="67" fillId="0" borderId="0" xfId="0" applyFont="1" applyAlignment="1">
      <alignment horizontal="center"/>
    </xf>
    <xf numFmtId="0" fontId="31" fillId="0" borderId="0" xfId="0" applyFont="1"/>
    <xf numFmtId="0" fontId="67" fillId="0" borderId="0" xfId="0" applyFont="1"/>
    <xf numFmtId="0" fontId="68" fillId="0" borderId="0" xfId="0" applyFont="1"/>
    <xf numFmtId="0" fontId="26" fillId="34" borderId="38" xfId="0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top"/>
    </xf>
    <xf numFmtId="0" fontId="58" fillId="34" borderId="22" xfId="0" applyFont="1" applyFill="1" applyBorder="1" applyAlignment="1">
      <alignment horizontal="center"/>
    </xf>
    <xf numFmtId="0" fontId="0" fillId="34" borderId="38" xfId="0" applyFill="1" applyBorder="1" applyAlignment="1">
      <alignment horizontal="center" vertical="top"/>
    </xf>
    <xf numFmtId="0" fontId="26" fillId="34" borderId="22" xfId="0" applyFont="1" applyFill="1" applyBorder="1" applyAlignment="1">
      <alignment horizontal="center" vertical="center"/>
    </xf>
    <xf numFmtId="0" fontId="55" fillId="0" borderId="0" xfId="37" applyFont="1" applyAlignment="1">
      <alignment vertical="top" wrapText="1"/>
    </xf>
    <xf numFmtId="0" fontId="69" fillId="0" borderId="0" xfId="0" applyFont="1"/>
    <xf numFmtId="0" fontId="36" fillId="0" borderId="21" xfId="0" applyFont="1" applyBorder="1" applyAlignment="1" applyProtection="1">
      <alignment horizontal="center" vertical="center"/>
      <protection locked="0" hidden="1"/>
    </xf>
    <xf numFmtId="0" fontId="52" fillId="29" borderId="22" xfId="0" applyFont="1" applyFill="1" applyBorder="1" applyAlignment="1">
      <alignment horizontal="right" indent="1"/>
    </xf>
    <xf numFmtId="1" fontId="29" fillId="0" borderId="0" xfId="0" applyNumberFormat="1" applyFont="1"/>
    <xf numFmtId="1" fontId="29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 vertical="center"/>
    </xf>
    <xf numFmtId="3" fontId="28" fillId="29" borderId="0" xfId="0" applyNumberFormat="1" applyFont="1" applyFill="1" applyAlignment="1" applyProtection="1">
      <alignment horizontal="right" indent="1"/>
      <protection locked="0"/>
    </xf>
    <xf numFmtId="3" fontId="28" fillId="28" borderId="0" xfId="0" applyNumberFormat="1" applyFont="1" applyFill="1" applyAlignment="1" applyProtection="1">
      <alignment horizontal="right" vertical="center" indent="1"/>
      <protection locked="0"/>
    </xf>
    <xf numFmtId="3" fontId="28" fillId="28" borderId="0" xfId="0" applyNumberFormat="1" applyFont="1" applyFill="1" applyAlignment="1" applyProtection="1">
      <alignment horizontal="right" indent="1"/>
      <protection locked="0"/>
    </xf>
    <xf numFmtId="3" fontId="28" fillId="28" borderId="33" xfId="0" applyNumberFormat="1" applyFont="1" applyFill="1" applyBorder="1" applyAlignment="1" applyProtection="1">
      <alignment horizontal="right" vertical="center" indent="1"/>
      <protection locked="0"/>
    </xf>
    <xf numFmtId="3" fontId="28" fillId="29" borderId="33" xfId="0" applyNumberFormat="1" applyFont="1" applyFill="1" applyBorder="1" applyAlignment="1" applyProtection="1">
      <alignment horizontal="right" vertical="center" indent="1"/>
      <protection locked="0"/>
    </xf>
    <xf numFmtId="2" fontId="29" fillId="32" borderId="10" xfId="0" applyNumberFormat="1" applyFont="1" applyFill="1" applyBorder="1"/>
    <xf numFmtId="2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 applyAlignment="1">
      <alignment horizontal="center"/>
    </xf>
    <xf numFmtId="1" fontId="29" fillId="32" borderId="10" xfId="0" applyNumberFormat="1" applyFont="1" applyFill="1" applyBorder="1"/>
    <xf numFmtId="1" fontId="81" fillId="32" borderId="10" xfId="0" applyNumberFormat="1" applyFont="1" applyFill="1" applyBorder="1"/>
    <xf numFmtId="1" fontId="82" fillId="32" borderId="0" xfId="0" applyNumberFormat="1" applyFont="1" applyFill="1" applyAlignment="1">
      <alignment vertical="center"/>
    </xf>
    <xf numFmtId="0" fontId="84" fillId="0" borderId="0" xfId="37" applyFont="1"/>
    <xf numFmtId="0" fontId="84" fillId="25" borderId="0" xfId="37" applyFont="1" applyFill="1"/>
    <xf numFmtId="0" fontId="29" fillId="31" borderId="12" xfId="0" applyFont="1" applyFill="1" applyBorder="1" applyAlignment="1">
      <alignment horizontal="center"/>
    </xf>
    <xf numFmtId="0" fontId="29" fillId="31" borderId="10" xfId="0" applyFont="1" applyFill="1" applyBorder="1"/>
    <xf numFmtId="17" fontId="88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32" borderId="29" xfId="0" applyFont="1" applyFill="1" applyBorder="1" applyAlignment="1" applyProtection="1">
      <alignment horizontal="center" vertical="center" textRotation="90"/>
      <protection hidden="1"/>
    </xf>
    <xf numFmtId="0" fontId="49" fillId="25" borderId="0" xfId="0" applyFont="1" applyFill="1" applyAlignment="1">
      <alignment vertical="top"/>
    </xf>
    <xf numFmtId="0" fontId="49" fillId="0" borderId="0" xfId="0" applyFont="1" applyAlignment="1">
      <alignment vertical="top"/>
    </xf>
    <xf numFmtId="3" fontId="90" fillId="32" borderId="28" xfId="0" applyNumberFormat="1" applyFont="1" applyFill="1" applyBorder="1" applyAlignment="1" applyProtection="1">
      <alignment horizontal="center" vertical="center" textRotation="90"/>
      <protection hidden="1"/>
    </xf>
    <xf numFmtId="0" fontId="90" fillId="32" borderId="27" xfId="0" applyFont="1" applyFill="1" applyBorder="1" applyAlignment="1">
      <alignment horizontal="center" vertical="center" textRotation="90"/>
    </xf>
    <xf numFmtId="167" fontId="91" fillId="0" borderId="10" xfId="0" applyNumberFormat="1" applyFont="1" applyBorder="1" applyAlignment="1" applyProtection="1">
      <alignment horizontal="center" vertical="center"/>
      <protection hidden="1"/>
    </xf>
    <xf numFmtId="3" fontId="91" fillId="0" borderId="10" xfId="0" applyNumberFormat="1" applyFont="1" applyBorder="1" applyAlignment="1" applyProtection="1">
      <alignment horizontal="center" vertical="center"/>
      <protection hidden="1"/>
    </xf>
    <xf numFmtId="0" fontId="49" fillId="25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Alignment="1">
      <alignment vertical="center"/>
    </xf>
    <xf numFmtId="2" fontId="87" fillId="32" borderId="0" xfId="0" applyNumberFormat="1" applyFont="1" applyFill="1" applyAlignment="1">
      <alignment horizontal="left"/>
    </xf>
    <xf numFmtId="2" fontId="82" fillId="32" borderId="0" xfId="0" applyNumberFormat="1" applyFont="1" applyFill="1" applyAlignment="1">
      <alignment horizontal="left"/>
    </xf>
    <xf numFmtId="0" fontId="62" fillId="0" borderId="0" xfId="0" applyFont="1" applyAlignment="1">
      <alignment horizontal="left" vertical="center"/>
    </xf>
    <xf numFmtId="1" fontId="94" fillId="39" borderId="39" xfId="0" applyNumberFormat="1" applyFont="1" applyFill="1" applyBorder="1" applyAlignment="1">
      <alignment horizontal="center" vertical="center"/>
    </xf>
    <xf numFmtId="3" fontId="81" fillId="0" borderId="21" xfId="0" applyNumberFormat="1" applyFont="1" applyBorder="1" applyAlignment="1">
      <alignment horizontal="center" vertical="center"/>
    </xf>
    <xf numFmtId="3" fontId="60" fillId="0" borderId="21" xfId="0" applyNumberFormat="1" applyFont="1" applyBorder="1" applyAlignment="1">
      <alignment horizontal="center" vertical="center"/>
    </xf>
    <xf numFmtId="1" fontId="60" fillId="0" borderId="21" xfId="0" applyNumberFormat="1" applyFont="1" applyBorder="1" applyAlignment="1">
      <alignment horizontal="center" vertical="center"/>
    </xf>
    <xf numFmtId="3" fontId="54" fillId="37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6" borderId="10" xfId="0" applyNumberFormat="1" applyFont="1" applyFill="1" applyBorder="1" applyAlignment="1">
      <alignment horizontal="center" vertical="center"/>
    </xf>
    <xf numFmtId="1" fontId="29" fillId="33" borderId="10" xfId="0" applyNumberFormat="1" applyFont="1" applyFill="1" applyBorder="1" applyAlignment="1">
      <alignment horizontal="right" vertical="center"/>
    </xf>
    <xf numFmtId="0" fontId="29" fillId="33" borderId="10" xfId="0" applyFont="1" applyFill="1" applyBorder="1" applyAlignment="1">
      <alignment horizontal="center" vertical="center"/>
    </xf>
    <xf numFmtId="2" fontId="1" fillId="33" borderId="10" xfId="0" applyNumberFormat="1" applyFont="1" applyFill="1" applyBorder="1" applyAlignment="1">
      <alignment horizontal="center" vertical="center"/>
    </xf>
    <xf numFmtId="1" fontId="29" fillId="26" borderId="10" xfId="0" applyNumberFormat="1" applyFont="1" applyFill="1" applyBorder="1"/>
    <xf numFmtId="168" fontId="29" fillId="0" borderId="0" xfId="45" applyNumberFormat="1" applyFont="1" applyBorder="1" applyAlignment="1"/>
    <xf numFmtId="168" fontId="40" fillId="0" borderId="0" xfId="45" applyNumberFormat="1" applyFont="1" applyBorder="1" applyAlignment="1"/>
    <xf numFmtId="3" fontId="40" fillId="0" borderId="0" xfId="45" applyNumberFormat="1" applyFont="1" applyBorder="1" applyAlignment="1"/>
    <xf numFmtId="2" fontId="41" fillId="0" borderId="0" xfId="0" applyNumberFormat="1" applyFont="1"/>
    <xf numFmtId="2" fontId="52" fillId="0" borderId="0" xfId="0" applyNumberFormat="1" applyFont="1"/>
    <xf numFmtId="0" fontId="104" fillId="0" borderId="10" xfId="37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1" fontId="105" fillId="0" borderId="10" xfId="37" applyNumberFormat="1" applyFont="1" applyBorder="1" applyAlignment="1">
      <alignment horizontal="center" vertical="center" wrapText="1"/>
    </xf>
    <xf numFmtId="0" fontId="113" fillId="0" borderId="10" xfId="37" applyFont="1" applyBorder="1" applyAlignment="1">
      <alignment horizontal="center" vertical="center"/>
    </xf>
    <xf numFmtId="0" fontId="113" fillId="0" borderId="12" xfId="37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04" fillId="0" borderId="32" xfId="37" applyFont="1" applyBorder="1" applyAlignment="1">
      <alignment horizontal="center" vertical="center"/>
    </xf>
    <xf numFmtId="0" fontId="127" fillId="0" borderId="32" xfId="37" applyFont="1" applyBorder="1" applyAlignment="1">
      <alignment horizontal="right" vertical="center"/>
    </xf>
    <xf numFmtId="0" fontId="34" fillId="0" borderId="0" xfId="37" applyFont="1" applyAlignment="1">
      <alignment horizontal="right" vertical="center"/>
    </xf>
    <xf numFmtId="0" fontId="127" fillId="0" borderId="30" xfId="37" applyFont="1" applyBorder="1" applyAlignment="1">
      <alignment horizontal="center" vertical="center"/>
    </xf>
    <xf numFmtId="0" fontId="127" fillId="0" borderId="22" xfId="37" applyFont="1" applyBorder="1" applyAlignment="1">
      <alignment horizontal="center" vertical="center"/>
    </xf>
    <xf numFmtId="0" fontId="34" fillId="0" borderId="22" xfId="37" applyFont="1" applyBorder="1" applyAlignment="1">
      <alignment horizontal="center" vertical="center"/>
    </xf>
    <xf numFmtId="0" fontId="34" fillId="0" borderId="0" xfId="37" applyFont="1"/>
    <xf numFmtId="0" fontId="142" fillId="0" borderId="30" xfId="37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center"/>
    </xf>
    <xf numFmtId="0" fontId="110" fillId="0" borderId="10" xfId="37" applyFont="1" applyBorder="1" applyAlignment="1">
      <alignment horizontal="center" vertical="center"/>
    </xf>
    <xf numFmtId="0" fontId="148" fillId="0" borderId="10" xfId="37" applyFont="1" applyBorder="1" applyAlignment="1">
      <alignment horizontal="center" vertical="center" wrapText="1"/>
    </xf>
    <xf numFmtId="2" fontId="95" fillId="30" borderId="18" xfId="0" applyNumberFormat="1" applyFont="1" applyFill="1" applyBorder="1" applyAlignment="1">
      <alignment vertical="center"/>
    </xf>
    <xf numFmtId="2" fontId="95" fillId="30" borderId="19" xfId="0" applyNumberFormat="1" applyFont="1" applyFill="1" applyBorder="1" applyAlignment="1">
      <alignment vertical="center"/>
    </xf>
    <xf numFmtId="2" fontId="95" fillId="30" borderId="34" xfId="0" applyNumberFormat="1" applyFont="1" applyFill="1" applyBorder="1" applyAlignment="1">
      <alignment vertical="center"/>
    </xf>
    <xf numFmtId="2" fontId="95" fillId="30" borderId="33" xfId="0" applyNumberFormat="1" applyFont="1" applyFill="1" applyBorder="1" applyAlignment="1">
      <alignment vertical="center"/>
    </xf>
    <xf numFmtId="2" fontId="95" fillId="30" borderId="16" xfId="0" applyNumberFormat="1" applyFont="1" applyFill="1" applyBorder="1" applyAlignment="1">
      <alignment vertical="center"/>
    </xf>
    <xf numFmtId="2" fontId="95" fillId="30" borderId="20" xfId="0" applyNumberFormat="1" applyFont="1" applyFill="1" applyBorder="1" applyAlignment="1">
      <alignment vertical="center"/>
    </xf>
    <xf numFmtId="169" fontId="40" fillId="40" borderId="10" xfId="0" applyNumberFormat="1" applyFont="1" applyFill="1" applyBorder="1" applyAlignment="1" applyProtection="1">
      <alignment horizontal="left" indent="1"/>
      <protection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locked="0" hidden="1"/>
    </xf>
    <xf numFmtId="169" fontId="40" fillId="40" borderId="10" xfId="0" applyNumberFormat="1" applyFont="1" applyFill="1" applyBorder="1" applyAlignment="1" applyProtection="1">
      <alignment horizontal="left" vertical="center" indent="1"/>
      <protection hidden="1"/>
    </xf>
    <xf numFmtId="169" fontId="89" fillId="29" borderId="10" xfId="0" applyNumberFormat="1" applyFont="1" applyFill="1" applyBorder="1" applyAlignment="1" applyProtection="1">
      <alignment horizontal="left" vertical="center" indent="1"/>
      <protection hidden="1"/>
    </xf>
    <xf numFmtId="2" fontId="5" fillId="29" borderId="17" xfId="0" applyNumberFormat="1" applyFont="1" applyFill="1" applyBorder="1" applyAlignment="1">
      <alignment horizontal="left"/>
    </xf>
    <xf numFmtId="4" fontId="5" fillId="24" borderId="17" xfId="0" applyNumberFormat="1" applyFont="1" applyFill="1" applyBorder="1" applyAlignment="1">
      <alignment horizontal="left" indent="2"/>
    </xf>
    <xf numFmtId="2" fontId="5" fillId="24" borderId="17" xfId="0" applyNumberFormat="1" applyFont="1" applyFill="1" applyBorder="1" applyAlignment="1">
      <alignment horizontal="left"/>
    </xf>
    <xf numFmtId="2" fontId="5" fillId="24" borderId="19" xfId="0" applyNumberFormat="1" applyFont="1" applyFill="1" applyBorder="1" applyAlignment="1">
      <alignment horizontal="left"/>
    </xf>
    <xf numFmtId="2" fontId="5" fillId="29" borderId="11" xfId="0" applyNumberFormat="1" applyFont="1" applyFill="1" applyBorder="1" applyAlignment="1">
      <alignment horizontal="left"/>
    </xf>
    <xf numFmtId="2" fontId="5" fillId="24" borderId="11" xfId="0" applyNumberFormat="1" applyFont="1" applyFill="1" applyBorder="1" applyAlignment="1">
      <alignment horizontal="left" indent="2"/>
    </xf>
    <xf numFmtId="2" fontId="5" fillId="24" borderId="11" xfId="0" applyNumberFormat="1" applyFont="1" applyFill="1" applyBorder="1" applyAlignment="1">
      <alignment horizontal="left"/>
    </xf>
    <xf numFmtId="2" fontId="5" fillId="24" borderId="20" xfId="0" applyNumberFormat="1" applyFont="1" applyFill="1" applyBorder="1" applyAlignment="1">
      <alignment horizontal="left"/>
    </xf>
    <xf numFmtId="169" fontId="40" fillId="40" borderId="15" xfId="0" applyNumberFormat="1" applyFont="1" applyFill="1" applyBorder="1" applyAlignment="1" applyProtection="1">
      <alignment horizontal="left" vertical="center" indent="1"/>
      <protection hidden="1"/>
    </xf>
    <xf numFmtId="1" fontId="60" fillId="0" borderId="56" xfId="0" applyNumberFormat="1" applyFont="1" applyBorder="1" applyAlignment="1">
      <alignment horizontal="center" vertical="center"/>
    </xf>
    <xf numFmtId="0" fontId="152" fillId="32" borderId="53" xfId="0" applyFont="1" applyFill="1" applyBorder="1" applyAlignment="1" applyProtection="1">
      <alignment horizontal="center" textRotation="90" wrapText="1"/>
      <protection locked="0"/>
    </xf>
    <xf numFmtId="167" fontId="102" fillId="0" borderId="10" xfId="0" applyNumberFormat="1" applyFont="1" applyBorder="1" applyAlignment="1" applyProtection="1">
      <alignment horizontal="center" vertical="center"/>
      <protection locked="0" hidden="1"/>
    </xf>
    <xf numFmtId="3" fontId="100" fillId="32" borderId="28" xfId="0" applyNumberFormat="1" applyFont="1" applyFill="1" applyBorder="1" applyAlignment="1" applyProtection="1">
      <alignment horizontal="center" vertical="center" textRotation="90"/>
      <protection hidden="1"/>
    </xf>
    <xf numFmtId="3" fontId="102" fillId="0" borderId="10" xfId="0" applyNumberFormat="1" applyFont="1" applyBorder="1" applyAlignment="1" applyProtection="1">
      <alignment horizontal="center" vertical="center"/>
      <protection hidden="1"/>
    </xf>
    <xf numFmtId="0" fontId="149" fillId="32" borderId="52" xfId="0" applyFont="1" applyFill="1" applyBorder="1" applyAlignment="1">
      <alignment horizontal="center" vertical="center" wrapText="1"/>
    </xf>
    <xf numFmtId="0" fontId="149" fillId="32" borderId="53" xfId="0" applyFont="1" applyFill="1" applyBorder="1" applyAlignment="1">
      <alignment horizontal="center" textRotation="90" wrapText="1"/>
    </xf>
    <xf numFmtId="0" fontId="149" fillId="32" borderId="53" xfId="0" applyFont="1" applyFill="1" applyBorder="1" applyAlignment="1" applyProtection="1">
      <alignment horizontal="center" textRotation="90" wrapText="1"/>
      <protection locked="0"/>
    </xf>
    <xf numFmtId="0" fontId="149" fillId="32" borderId="54" xfId="0" applyFont="1" applyFill="1" applyBorder="1" applyAlignment="1" applyProtection="1">
      <alignment horizontal="center" vertical="center" wrapText="1"/>
      <protection locked="0"/>
    </xf>
    <xf numFmtId="3" fontId="97" fillId="32" borderId="28" xfId="0" applyNumberFormat="1" applyFont="1" applyFill="1" applyBorder="1" applyAlignment="1" applyProtection="1">
      <alignment horizontal="center" vertical="center" textRotation="90"/>
      <protection hidden="1"/>
    </xf>
    <xf numFmtId="165" fontId="126" fillId="0" borderId="22" xfId="0" applyNumberFormat="1" applyFont="1" applyBorder="1" applyAlignment="1">
      <alignment horizontal="center" vertical="center"/>
    </xf>
    <xf numFmtId="167" fontId="121" fillId="0" borderId="10" xfId="0" applyNumberFormat="1" applyFont="1" applyBorder="1" applyAlignment="1" applyProtection="1">
      <alignment horizontal="center" vertical="center"/>
      <protection locked="0" hidden="1"/>
    </xf>
    <xf numFmtId="167" fontId="121" fillId="0" borderId="10" xfId="0" applyNumberFormat="1" applyFont="1" applyBorder="1" applyAlignment="1" applyProtection="1">
      <alignment vertical="center"/>
      <protection locked="0"/>
    </xf>
    <xf numFmtId="0" fontId="157" fillId="0" borderId="0" xfId="0" applyFont="1" applyAlignment="1">
      <alignment horizontal="right" vertical="center"/>
    </xf>
    <xf numFmtId="3" fontId="157" fillId="30" borderId="10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8" xfId="0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vertical="center" indent="1"/>
    </xf>
    <xf numFmtId="49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2" borderId="10" xfId="0" applyFont="1" applyFill="1" applyBorder="1" applyAlignment="1">
      <alignment horizontal="right" vertical="center" indent="1"/>
    </xf>
    <xf numFmtId="1" fontId="157" fillId="30" borderId="21" xfId="0" applyNumberFormat="1" applyFont="1" applyFill="1" applyBorder="1" applyAlignment="1" applyProtection="1">
      <alignment horizontal="left" vertical="center" indent="1"/>
      <protection locked="0"/>
    </xf>
    <xf numFmtId="0" fontId="157" fillId="30" borderId="21" xfId="0" applyFont="1" applyFill="1" applyBorder="1" applyAlignment="1" applyProtection="1">
      <alignment horizontal="left" vertical="center" indent="1"/>
      <protection locked="0"/>
    </xf>
    <xf numFmtId="9" fontId="157" fillId="30" borderId="21" xfId="44" applyFont="1" applyFill="1" applyBorder="1" applyAlignment="1" applyProtection="1">
      <alignment horizontal="left" vertical="center" indent="1"/>
      <protection locked="0"/>
    </xf>
    <xf numFmtId="0" fontId="150" fillId="32" borderId="10" xfId="0" applyFont="1" applyFill="1" applyBorder="1" applyAlignment="1">
      <alignment horizontal="right" indent="1"/>
    </xf>
    <xf numFmtId="166" fontId="157" fillId="30" borderId="21" xfId="45" applyNumberFormat="1" applyFont="1" applyFill="1" applyBorder="1" applyAlignment="1" applyProtection="1">
      <alignment horizontal="left" vertical="center" indent="1"/>
      <protection locked="0"/>
    </xf>
    <xf numFmtId="0" fontId="150" fillId="32" borderId="5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vertical="center" indent="1"/>
    </xf>
    <xf numFmtId="0" fontId="105" fillId="32" borderId="22" xfId="0" applyFont="1" applyFill="1" applyBorder="1" applyAlignment="1">
      <alignment horizontal="right" vertical="center" indent="1"/>
    </xf>
    <xf numFmtId="0" fontId="150" fillId="32" borderId="22" xfId="0" applyFont="1" applyFill="1" applyBorder="1" applyAlignment="1">
      <alignment horizontal="right" indent="1"/>
    </xf>
    <xf numFmtId="0" fontId="150" fillId="32" borderId="27" xfId="0" applyFont="1" applyFill="1" applyBorder="1" applyAlignment="1">
      <alignment horizontal="right" indent="1"/>
    </xf>
    <xf numFmtId="0" fontId="159" fillId="0" borderId="0" xfId="0" applyFont="1" applyAlignment="1">
      <alignment horizontal="center" vertical="top"/>
    </xf>
    <xf numFmtId="0" fontId="161" fillId="0" borderId="0" xfId="0" applyFont="1" applyAlignment="1">
      <alignment horizontal="center" vertical="top"/>
    </xf>
    <xf numFmtId="0" fontId="156" fillId="0" borderId="0" xfId="0" applyFont="1" applyAlignment="1">
      <alignment vertical="center"/>
    </xf>
    <xf numFmtId="2" fontId="29" fillId="26" borderId="0" xfId="0" applyNumberFormat="1" applyFont="1" applyFill="1" applyAlignment="1">
      <alignment horizontal="center" vertical="center"/>
    </xf>
    <xf numFmtId="1" fontId="81" fillId="26" borderId="10" xfId="0" applyNumberFormat="1" applyFont="1" applyFill="1" applyBorder="1"/>
    <xf numFmtId="1" fontId="60" fillId="29" borderId="10" xfId="0" applyNumberFormat="1" applyFont="1" applyFill="1" applyBorder="1" applyAlignment="1">
      <alignment horizontal="center"/>
    </xf>
    <xf numFmtId="1" fontId="162" fillId="29" borderId="10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vertical="center"/>
    </xf>
    <xf numFmtId="167" fontId="121" fillId="0" borderId="0" xfId="0" applyNumberFormat="1" applyFont="1" applyAlignment="1" applyProtection="1">
      <alignment vertical="center"/>
      <protection locked="0" hidden="1"/>
    </xf>
    <xf numFmtId="0" fontId="157" fillId="30" borderId="10" xfId="0" applyFont="1" applyFill="1" applyBorder="1" applyAlignment="1" applyProtection="1">
      <alignment horizontal="left" vertical="center" indent="1"/>
      <protection locked="0"/>
    </xf>
    <xf numFmtId="0" fontId="151" fillId="0" borderId="0" xfId="0" applyFont="1" applyAlignment="1">
      <alignment vertical="top"/>
    </xf>
    <xf numFmtId="14" fontId="151" fillId="0" borderId="0" xfId="0" applyNumberFormat="1" applyFont="1" applyAlignment="1">
      <alignment vertical="top"/>
    </xf>
    <xf numFmtId="0" fontId="150" fillId="32" borderId="28" xfId="0" quotePrefix="1" applyFont="1" applyFill="1" applyBorder="1" applyAlignment="1">
      <alignment horizontal="right" vertical="center" indent="1"/>
    </xf>
    <xf numFmtId="0" fontId="52" fillId="29" borderId="22" xfId="0" applyFont="1" applyFill="1" applyBorder="1" applyAlignment="1">
      <alignment horizontal="right" vertical="center" indent="1"/>
    </xf>
    <xf numFmtId="0" fontId="167" fillId="32" borderId="22" xfId="0" applyFont="1" applyFill="1" applyBorder="1" applyAlignment="1">
      <alignment horizontal="right" vertical="center" indent="1"/>
    </xf>
    <xf numFmtId="3" fontId="28" fillId="29" borderId="33" xfId="0" applyNumberFormat="1" applyFont="1" applyFill="1" applyBorder="1" applyAlignment="1">
      <alignment horizontal="right" vertical="center" indent="1"/>
    </xf>
    <xf numFmtId="17" fontId="88" fillId="0" borderId="22" xfId="0" applyNumberFormat="1" applyFont="1" applyBorder="1" applyAlignment="1">
      <alignment horizontal="center" vertical="center" wrapText="1"/>
    </xf>
    <xf numFmtId="17" fontId="88" fillId="0" borderId="22" xfId="0" applyNumberFormat="1" applyFont="1" applyBorder="1" applyAlignment="1" applyProtection="1">
      <alignment horizontal="center" vertical="center" wrapText="1"/>
      <protection hidden="1"/>
    </xf>
    <xf numFmtId="0" fontId="138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70" fontId="34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166" fillId="42" borderId="10" xfId="0" applyFont="1" applyFill="1" applyBorder="1" applyAlignment="1" applyProtection="1">
      <alignment horizontal="left" vertical="center" indent="1"/>
      <protection locked="0"/>
    </xf>
    <xf numFmtId="0" fontId="80" fillId="42" borderId="10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2" fontId="51" fillId="31" borderId="42" xfId="0" applyNumberFormat="1" applyFont="1" applyFill="1" applyBorder="1" applyAlignment="1">
      <alignment horizontal="center" vertical="center" wrapText="1"/>
    </xf>
    <xf numFmtId="2" fontId="51" fillId="31" borderId="43" xfId="0" applyNumberFormat="1" applyFont="1" applyFill="1" applyBorder="1" applyAlignment="1">
      <alignment horizontal="center" vertical="center" wrapText="1"/>
    </xf>
    <xf numFmtId="2" fontId="51" fillId="31" borderId="44" xfId="0" applyNumberFormat="1" applyFont="1" applyFill="1" applyBorder="1" applyAlignment="1">
      <alignment horizontal="center" vertical="center" wrapText="1"/>
    </xf>
    <xf numFmtId="0" fontId="73" fillId="26" borderId="35" xfId="0" applyFont="1" applyFill="1" applyBorder="1" applyAlignment="1">
      <alignment horizontal="center"/>
    </xf>
    <xf numFmtId="0" fontId="73" fillId="26" borderId="36" xfId="0" applyFont="1" applyFill="1" applyBorder="1" applyAlignment="1">
      <alignment horizontal="center"/>
    </xf>
    <xf numFmtId="0" fontId="73" fillId="26" borderId="37" xfId="0" applyFont="1" applyFill="1" applyBorder="1" applyAlignment="1">
      <alignment horizontal="center"/>
    </xf>
    <xf numFmtId="0" fontId="66" fillId="36" borderId="22" xfId="0" applyFont="1" applyFill="1" applyBorder="1" applyAlignment="1">
      <alignment horizontal="center" vertical="center"/>
    </xf>
    <xf numFmtId="0" fontId="66" fillId="36" borderId="10" xfId="0" applyFont="1" applyFill="1" applyBorder="1" applyAlignment="1">
      <alignment horizontal="center" vertical="center"/>
    </xf>
    <xf numFmtId="0" fontId="66" fillId="36" borderId="21" xfId="0" applyFont="1" applyFill="1" applyBorder="1" applyAlignment="1">
      <alignment horizontal="center" vertical="center"/>
    </xf>
    <xf numFmtId="0" fontId="53" fillId="34" borderId="38" xfId="0" applyFont="1" applyFill="1" applyBorder="1" applyAlignment="1">
      <alignment horizontal="center" vertical="center"/>
    </xf>
    <xf numFmtId="0" fontId="53" fillId="34" borderId="0" xfId="0" applyFont="1" applyFill="1" applyAlignment="1">
      <alignment horizontal="center" vertical="center"/>
    </xf>
    <xf numFmtId="0" fontId="53" fillId="34" borderId="39" xfId="0" applyFont="1" applyFill="1" applyBorder="1" applyAlignment="1">
      <alignment horizontal="center" vertical="center"/>
    </xf>
    <xf numFmtId="0" fontId="74" fillId="35" borderId="22" xfId="0" applyFont="1" applyFill="1" applyBorder="1" applyAlignment="1">
      <alignment horizontal="left" indent="3"/>
    </xf>
    <xf numFmtId="0" fontId="74" fillId="35" borderId="10" xfId="0" applyFont="1" applyFill="1" applyBorder="1" applyAlignment="1">
      <alignment horizontal="left" indent="3"/>
    </xf>
    <xf numFmtId="0" fontId="74" fillId="35" borderId="21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indent="3"/>
    </xf>
    <xf numFmtId="0" fontId="77" fillId="35" borderId="13" xfId="0" applyFont="1" applyFill="1" applyBorder="1" applyAlignment="1">
      <alignment horizontal="left" indent="3"/>
    </xf>
    <xf numFmtId="0" fontId="77" fillId="35" borderId="26" xfId="0" applyFont="1" applyFill="1" applyBorder="1" applyAlignment="1">
      <alignment horizontal="left" indent="3"/>
    </xf>
    <xf numFmtId="0" fontId="77" fillId="35" borderId="41" xfId="0" applyFont="1" applyFill="1" applyBorder="1" applyAlignment="1">
      <alignment horizontal="left" vertical="top" indent="4"/>
    </xf>
    <xf numFmtId="0" fontId="77" fillId="35" borderId="13" xfId="0" applyFont="1" applyFill="1" applyBorder="1" applyAlignment="1">
      <alignment horizontal="left" vertical="top" indent="4"/>
    </xf>
    <xf numFmtId="0" fontId="77" fillId="35" borderId="26" xfId="0" applyFont="1" applyFill="1" applyBorder="1" applyAlignment="1">
      <alignment horizontal="left" vertical="top" indent="4"/>
    </xf>
    <xf numFmtId="0" fontId="29" fillId="34" borderId="12" xfId="0" applyFont="1" applyFill="1" applyBorder="1" applyAlignment="1">
      <alignment horizontal="left" wrapText="1" indent="1"/>
    </xf>
    <xf numFmtId="0" fontId="29" fillId="34" borderId="13" xfId="0" applyFont="1" applyFill="1" applyBorder="1" applyAlignment="1">
      <alignment horizontal="left" wrapText="1" indent="1"/>
    </xf>
    <xf numFmtId="0" fontId="29" fillId="34" borderId="26" xfId="0" applyFont="1" applyFill="1" applyBorder="1" applyAlignment="1">
      <alignment horizontal="left" wrapText="1" indent="1"/>
    </xf>
    <xf numFmtId="0" fontId="78" fillId="34" borderId="13" xfId="0" applyFont="1" applyFill="1" applyBorder="1" applyAlignment="1">
      <alignment horizontal="left" vertical="top" wrapText="1" indent="1"/>
    </xf>
    <xf numFmtId="0" fontId="47" fillId="34" borderId="13" xfId="0" applyFont="1" applyFill="1" applyBorder="1" applyAlignment="1">
      <alignment horizontal="left" vertical="top" wrapText="1" indent="1"/>
    </xf>
    <xf numFmtId="0" fontId="47" fillId="34" borderId="26" xfId="0" applyFont="1" applyFill="1" applyBorder="1" applyAlignment="1">
      <alignment horizontal="left" vertical="top" wrapText="1" indent="1"/>
    </xf>
    <xf numFmtId="0" fontId="47" fillId="34" borderId="10" xfId="0" applyFont="1" applyFill="1" applyBorder="1" applyAlignment="1">
      <alignment horizontal="left" indent="1"/>
    </xf>
    <xf numFmtId="0" fontId="47" fillId="34" borderId="21" xfId="0" applyFont="1" applyFill="1" applyBorder="1" applyAlignment="1">
      <alignment horizontal="left" indent="1"/>
    </xf>
    <xf numFmtId="0" fontId="47" fillId="34" borderId="12" xfId="0" applyFont="1" applyFill="1" applyBorder="1" applyAlignment="1">
      <alignment horizontal="left" indent="1"/>
    </xf>
    <xf numFmtId="0" fontId="47" fillId="34" borderId="13" xfId="0" applyFont="1" applyFill="1" applyBorder="1" applyAlignment="1">
      <alignment horizontal="left" indent="1"/>
    </xf>
    <xf numFmtId="0" fontId="47" fillId="34" borderId="26" xfId="0" applyFont="1" applyFill="1" applyBorder="1" applyAlignment="1">
      <alignment horizontal="left" indent="1"/>
    </xf>
    <xf numFmtId="0" fontId="52" fillId="26" borderId="41" xfId="0" applyFont="1" applyFill="1" applyBorder="1" applyAlignment="1">
      <alignment horizontal="left" vertical="center" wrapText="1" indent="3"/>
    </xf>
    <xf numFmtId="0" fontId="52" fillId="26" borderId="13" xfId="0" applyFont="1" applyFill="1" applyBorder="1" applyAlignment="1">
      <alignment horizontal="left" vertical="center" wrapText="1" indent="3"/>
    </xf>
    <xf numFmtId="0" fontId="52" fillId="26" borderId="26" xfId="0" applyFont="1" applyFill="1" applyBorder="1" applyAlignment="1">
      <alignment horizontal="left" vertical="center" wrapText="1" indent="3"/>
    </xf>
    <xf numFmtId="0" fontId="47" fillId="34" borderId="12" xfId="0" applyFont="1" applyFill="1" applyBorder="1" applyAlignment="1">
      <alignment horizontal="left" wrapText="1" indent="1"/>
    </xf>
    <xf numFmtId="0" fontId="47" fillId="34" borderId="13" xfId="0" applyFont="1" applyFill="1" applyBorder="1" applyAlignment="1">
      <alignment horizontal="left" wrapText="1" indent="1"/>
    </xf>
    <xf numFmtId="0" fontId="47" fillId="34" borderId="26" xfId="0" applyFont="1" applyFill="1" applyBorder="1" applyAlignment="1">
      <alignment horizontal="left" wrapText="1" indent="1"/>
    </xf>
    <xf numFmtId="0" fontId="75" fillId="34" borderId="17" xfId="0" applyFont="1" applyFill="1" applyBorder="1" applyAlignment="1">
      <alignment horizontal="left" vertical="center" wrapText="1" indent="1"/>
    </xf>
    <xf numFmtId="0" fontId="75" fillId="34" borderId="17" xfId="0" applyFont="1" applyFill="1" applyBorder="1" applyAlignment="1">
      <alignment horizontal="left" vertical="center" indent="1"/>
    </xf>
    <xf numFmtId="0" fontId="75" fillId="34" borderId="45" xfId="0" applyFont="1" applyFill="1" applyBorder="1" applyAlignment="1">
      <alignment horizontal="left" vertical="center" indent="1"/>
    </xf>
    <xf numFmtId="0" fontId="75" fillId="34" borderId="11" xfId="0" applyFont="1" applyFill="1" applyBorder="1" applyAlignment="1">
      <alignment horizontal="left" vertical="center" indent="1"/>
    </xf>
    <xf numFmtId="0" fontId="75" fillId="34" borderId="40" xfId="0" applyFont="1" applyFill="1" applyBorder="1" applyAlignment="1">
      <alignment horizontal="left" vertical="center" indent="1"/>
    </xf>
    <xf numFmtId="0" fontId="58" fillId="34" borderId="23" xfId="0" applyFont="1" applyFill="1" applyBorder="1" applyAlignment="1">
      <alignment horizontal="center" vertical="top"/>
    </xf>
    <xf numFmtId="0" fontId="58" fillId="34" borderId="25" xfId="0" applyFont="1" applyFill="1" applyBorder="1" applyAlignment="1">
      <alignment horizontal="center" vertical="top"/>
    </xf>
    <xf numFmtId="0" fontId="47" fillId="34" borderId="0" xfId="0" applyFont="1" applyFill="1" applyAlignment="1">
      <alignment horizontal="left" wrapText="1" indent="1"/>
    </xf>
    <xf numFmtId="0" fontId="47" fillId="34" borderId="39" xfId="0" applyFont="1" applyFill="1" applyBorder="1" applyAlignment="1">
      <alignment horizontal="left" wrapText="1" indent="1"/>
    </xf>
    <xf numFmtId="0" fontId="74" fillId="35" borderId="41" xfId="0" applyFont="1" applyFill="1" applyBorder="1" applyAlignment="1">
      <alignment horizontal="left" vertical="center" indent="3"/>
    </xf>
    <xf numFmtId="0" fontId="74" fillId="35" borderId="13" xfId="0" applyFont="1" applyFill="1" applyBorder="1" applyAlignment="1">
      <alignment horizontal="left" vertical="center" indent="3"/>
    </xf>
    <xf numFmtId="0" fontId="74" fillId="35" borderId="26" xfId="0" applyFont="1" applyFill="1" applyBorder="1" applyAlignment="1">
      <alignment horizontal="left" vertical="center" indent="3"/>
    </xf>
    <xf numFmtId="0" fontId="47" fillId="34" borderId="12" xfId="0" applyFont="1" applyFill="1" applyBorder="1" applyAlignment="1">
      <alignment horizontal="left" vertical="center" indent="1"/>
    </xf>
    <xf numFmtId="0" fontId="47" fillId="34" borderId="13" xfId="0" applyFont="1" applyFill="1" applyBorder="1" applyAlignment="1">
      <alignment horizontal="left" vertical="center" indent="1"/>
    </xf>
    <xf numFmtId="0" fontId="47" fillId="34" borderId="26" xfId="0" applyFont="1" applyFill="1" applyBorder="1" applyAlignment="1">
      <alignment horizontal="left" vertical="center" indent="1"/>
    </xf>
    <xf numFmtId="0" fontId="47" fillId="34" borderId="0" xfId="0" applyFont="1" applyFill="1" applyAlignment="1">
      <alignment horizontal="left" indent="1"/>
    </xf>
    <xf numFmtId="0" fontId="47" fillId="34" borderId="39" xfId="0" applyFont="1" applyFill="1" applyBorder="1" applyAlignment="1">
      <alignment horizontal="left" indent="1"/>
    </xf>
    <xf numFmtId="0" fontId="29" fillId="34" borderId="10" xfId="0" applyFont="1" applyFill="1" applyBorder="1" applyAlignment="1">
      <alignment horizontal="left" wrapText="1" indent="1"/>
    </xf>
    <xf numFmtId="0" fontId="29" fillId="34" borderId="21" xfId="0" applyFont="1" applyFill="1" applyBorder="1" applyAlignment="1">
      <alignment horizontal="left" wrapText="1" indent="1"/>
    </xf>
    <xf numFmtId="0" fontId="157" fillId="30" borderId="53" xfId="0" applyFont="1" applyFill="1" applyBorder="1" applyAlignment="1" applyProtection="1">
      <alignment horizontal="left" vertical="center" indent="1"/>
      <protection locked="0"/>
    </xf>
    <xf numFmtId="0" fontId="157" fillId="30" borderId="54" xfId="0" applyFont="1" applyFill="1" applyBorder="1" applyAlignment="1" applyProtection="1">
      <alignment horizontal="left" vertical="center" indent="1"/>
      <protection locked="0"/>
    </xf>
    <xf numFmtId="0" fontId="86" fillId="31" borderId="35" xfId="0" applyFont="1" applyFill="1" applyBorder="1" applyAlignment="1">
      <alignment horizontal="center" vertical="center"/>
    </xf>
    <xf numFmtId="0" fontId="86" fillId="31" borderId="36" xfId="0" applyFont="1" applyFill="1" applyBorder="1" applyAlignment="1">
      <alignment horizontal="center" vertical="center"/>
    </xf>
    <xf numFmtId="0" fontId="86" fillId="31" borderId="37" xfId="0" applyFont="1" applyFill="1" applyBorder="1" applyAlignment="1">
      <alignment horizontal="center" vertical="center"/>
    </xf>
    <xf numFmtId="0" fontId="79" fillId="31" borderId="38" xfId="0" applyFont="1" applyFill="1" applyBorder="1" applyAlignment="1">
      <alignment horizontal="center" vertical="center"/>
    </xf>
    <xf numFmtId="0" fontId="63" fillId="31" borderId="0" xfId="0" applyFont="1" applyFill="1" applyAlignment="1">
      <alignment horizontal="center" vertical="center"/>
    </xf>
    <xf numFmtId="0" fontId="63" fillId="31" borderId="39" xfId="0" applyFont="1" applyFill="1" applyBorder="1" applyAlignment="1">
      <alignment horizontal="center" vertical="center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36" xfId="0" applyFont="1" applyFill="1" applyBorder="1" applyAlignment="1">
      <alignment horizontal="center" vertical="center"/>
    </xf>
    <xf numFmtId="0" fontId="152" fillId="0" borderId="48" xfId="0" applyFont="1" applyBorder="1" applyAlignment="1">
      <alignment horizontal="left" vertical="center"/>
    </xf>
    <xf numFmtId="0" fontId="157" fillId="0" borderId="0" xfId="0" applyFont="1" applyAlignment="1">
      <alignment horizontal="center" vertical="center"/>
    </xf>
    <xf numFmtId="0" fontId="157" fillId="0" borderId="48" xfId="0" applyFont="1" applyBorder="1" applyAlignment="1">
      <alignment horizontal="center" vertical="center"/>
    </xf>
    <xf numFmtId="0" fontId="152" fillId="0" borderId="0" xfId="0" applyFont="1" applyAlignment="1">
      <alignment horizontal="left" vertical="center"/>
    </xf>
    <xf numFmtId="0" fontId="93" fillId="0" borderId="0" xfId="0" applyFont="1" applyAlignment="1">
      <alignment horizontal="center" vertical="top"/>
    </xf>
    <xf numFmtId="0" fontId="92" fillId="0" borderId="0" xfId="0" applyFont="1" applyAlignment="1">
      <alignment horizontal="center" vertical="center"/>
    </xf>
    <xf numFmtId="1" fontId="152" fillId="0" borderId="0" xfId="0" applyNumberFormat="1" applyFont="1" applyAlignment="1">
      <alignment horizontal="left" vertical="center"/>
    </xf>
    <xf numFmtId="0" fontId="177" fillId="0" borderId="0" xfId="0" applyFont="1" applyAlignment="1">
      <alignment horizontal="center" vertical="top"/>
    </xf>
    <xf numFmtId="0" fontId="157" fillId="0" borderId="48" xfId="0" applyFont="1" applyBorder="1" applyAlignment="1">
      <alignment horizontal="left" vertical="center"/>
    </xf>
    <xf numFmtId="1" fontId="152" fillId="0" borderId="48" xfId="0" applyNumberFormat="1" applyFont="1" applyBorder="1" applyAlignment="1">
      <alignment horizontal="left" vertical="center"/>
    </xf>
    <xf numFmtId="2" fontId="89" fillId="29" borderId="10" xfId="0" applyNumberFormat="1" applyFont="1" applyFill="1" applyBorder="1" applyAlignment="1">
      <alignment horizontal="right" indent="1"/>
    </xf>
    <xf numFmtId="2" fontId="153" fillId="36" borderId="12" xfId="0" applyNumberFormat="1" applyFont="1" applyFill="1" applyBorder="1" applyAlignment="1">
      <alignment horizontal="center" vertical="center" wrapText="1"/>
    </xf>
    <xf numFmtId="2" fontId="153" fillId="36" borderId="13" xfId="0" applyNumberFormat="1" applyFont="1" applyFill="1" applyBorder="1" applyAlignment="1">
      <alignment horizontal="center" vertical="center" wrapText="1"/>
    </xf>
    <xf numFmtId="2" fontId="153" fillId="36" borderId="14" xfId="0" applyNumberFormat="1" applyFont="1" applyFill="1" applyBorder="1" applyAlignment="1">
      <alignment horizontal="center" vertical="center" wrapText="1"/>
    </xf>
    <xf numFmtId="2" fontId="40" fillId="40" borderId="10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/>
    </xf>
    <xf numFmtId="2" fontId="95" fillId="30" borderId="13" xfId="0" applyNumberFormat="1" applyFont="1" applyFill="1" applyBorder="1" applyAlignment="1">
      <alignment horizontal="center" vertical="center"/>
    </xf>
    <xf numFmtId="2" fontId="40" fillId="40" borderId="15" xfId="0" applyNumberFormat="1" applyFont="1" applyFill="1" applyBorder="1" applyAlignment="1">
      <alignment horizontal="right" indent="1"/>
    </xf>
    <xf numFmtId="2" fontId="95" fillId="30" borderId="12" xfId="0" applyNumberFormat="1" applyFont="1" applyFill="1" applyBorder="1" applyAlignment="1">
      <alignment horizontal="center" vertical="center" wrapText="1"/>
    </xf>
    <xf numFmtId="2" fontId="95" fillId="30" borderId="13" xfId="0" applyNumberFormat="1" applyFont="1" applyFill="1" applyBorder="1" applyAlignment="1">
      <alignment horizontal="center" vertical="center" wrapText="1"/>
    </xf>
    <xf numFmtId="2" fontId="95" fillId="30" borderId="14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 wrapText="1"/>
    </xf>
    <xf numFmtId="2" fontId="32" fillId="38" borderId="10" xfId="0" applyNumberFormat="1" applyFont="1" applyFill="1" applyBorder="1" applyAlignment="1">
      <alignment horizontal="center" vertical="center"/>
    </xf>
    <xf numFmtId="2" fontId="155" fillId="30" borderId="12" xfId="0" applyNumberFormat="1" applyFont="1" applyFill="1" applyBorder="1" applyAlignment="1">
      <alignment horizontal="center" vertical="center"/>
    </xf>
    <xf numFmtId="2" fontId="155" fillId="30" borderId="13" xfId="0" applyNumberFormat="1" applyFont="1" applyFill="1" applyBorder="1" applyAlignment="1">
      <alignment horizontal="center" vertical="center"/>
    </xf>
    <xf numFmtId="2" fontId="155" fillId="30" borderId="14" xfId="0" applyNumberFormat="1" applyFont="1" applyFill="1" applyBorder="1" applyAlignment="1">
      <alignment horizontal="center" vertical="center"/>
    </xf>
    <xf numFmtId="2" fontId="175" fillId="41" borderId="12" xfId="0" applyNumberFormat="1" applyFont="1" applyFill="1" applyBorder="1" applyAlignment="1">
      <alignment horizontal="center" vertical="center"/>
    </xf>
    <xf numFmtId="2" fontId="175" fillId="41" borderId="13" xfId="0" applyNumberFormat="1" applyFont="1" applyFill="1" applyBorder="1" applyAlignment="1">
      <alignment horizontal="center" vertical="center"/>
    </xf>
    <xf numFmtId="2" fontId="175" fillId="41" borderId="14" xfId="0" applyNumberFormat="1" applyFont="1" applyFill="1" applyBorder="1" applyAlignment="1">
      <alignment horizontal="center" vertical="center"/>
    </xf>
    <xf numFmtId="2" fontId="5" fillId="24" borderId="16" xfId="0" applyNumberFormat="1" applyFont="1" applyFill="1" applyBorder="1" applyAlignment="1">
      <alignment horizontal="right" indent="1"/>
    </xf>
    <xf numFmtId="2" fontId="5" fillId="24" borderId="11" xfId="0" applyNumberFormat="1" applyFont="1" applyFill="1" applyBorder="1" applyAlignment="1">
      <alignment horizontal="right" indent="1"/>
    </xf>
    <xf numFmtId="2" fontId="5" fillId="24" borderId="18" xfId="0" applyNumberFormat="1" applyFont="1" applyFill="1" applyBorder="1" applyAlignment="1">
      <alignment horizontal="right" indent="1"/>
    </xf>
    <xf numFmtId="2" fontId="5" fillId="24" borderId="17" xfId="0" applyNumberFormat="1" applyFont="1" applyFill="1" applyBorder="1" applyAlignment="1">
      <alignment horizontal="right" indent="1"/>
    </xf>
    <xf numFmtId="1" fontId="54" fillId="27" borderId="55" xfId="0" applyNumberFormat="1" applyFont="1" applyFill="1" applyBorder="1" applyAlignment="1">
      <alignment horizontal="center" vertical="center"/>
    </xf>
    <xf numFmtId="1" fontId="44" fillId="27" borderId="57" xfId="0" applyNumberFormat="1" applyFont="1" applyFill="1" applyBorder="1" applyAlignment="1">
      <alignment horizontal="center" vertical="center" wrapText="1"/>
    </xf>
    <xf numFmtId="1" fontId="44" fillId="27" borderId="55" xfId="0" applyNumberFormat="1" applyFont="1" applyFill="1" applyBorder="1" applyAlignment="1">
      <alignment horizontal="center" vertical="center" wrapText="1"/>
    </xf>
    <xf numFmtId="1" fontId="54" fillId="37" borderId="57" xfId="0" applyNumberFormat="1" applyFont="1" applyFill="1" applyBorder="1" applyAlignment="1">
      <alignment horizontal="center" vertical="center" wrapText="1"/>
    </xf>
    <xf numFmtId="1" fontId="54" fillId="37" borderId="55" xfId="0" applyNumberFormat="1" applyFont="1" applyFill="1" applyBorder="1" applyAlignment="1">
      <alignment horizontal="center" vertical="center" wrapText="1"/>
    </xf>
    <xf numFmtId="170" fontId="91" fillId="0" borderId="12" xfId="46" applyNumberFormat="1" applyFont="1" applyBorder="1" applyAlignment="1">
      <alignment horizontal="center" vertical="center"/>
    </xf>
    <xf numFmtId="170" fontId="91" fillId="0" borderId="26" xfId="46" applyNumberFormat="1" applyFont="1" applyBorder="1" applyAlignment="1">
      <alignment horizontal="center" vertical="center"/>
    </xf>
    <xf numFmtId="170" fontId="102" fillId="0" borderId="12" xfId="46" applyNumberFormat="1" applyFont="1" applyBorder="1" applyAlignment="1">
      <alignment horizontal="left" vertical="center" wrapText="1"/>
    </xf>
    <xf numFmtId="170" fontId="102" fillId="0" borderId="26" xfId="46" applyNumberFormat="1" applyFont="1" applyBorder="1" applyAlignment="1">
      <alignment horizontal="left" vertical="center" wrapText="1"/>
    </xf>
    <xf numFmtId="170" fontId="91" fillId="0" borderId="58" xfId="46" applyNumberFormat="1" applyFont="1" applyBorder="1" applyAlignment="1">
      <alignment horizontal="center" vertical="center" wrapText="1"/>
    </xf>
    <xf numFmtId="170" fontId="91" fillId="0" borderId="44" xfId="46" applyNumberFormat="1" applyFont="1" applyBorder="1" applyAlignment="1">
      <alignment horizontal="center" vertical="center" wrapText="1"/>
    </xf>
    <xf numFmtId="170" fontId="121" fillId="0" borderId="12" xfId="46" applyNumberFormat="1" applyFont="1" applyBorder="1" applyAlignment="1">
      <alignment horizontal="left" vertical="center"/>
    </xf>
    <xf numFmtId="170" fontId="121" fillId="0" borderId="26" xfId="46" applyNumberFormat="1" applyFont="1" applyBorder="1" applyAlignment="1">
      <alignment horizontal="left" vertical="center"/>
    </xf>
    <xf numFmtId="170" fontId="102" fillId="0" borderId="12" xfId="46" applyNumberFormat="1" applyFont="1" applyBorder="1" applyAlignment="1">
      <alignment horizontal="left" vertical="center"/>
    </xf>
    <xf numFmtId="170" fontId="102" fillId="0" borderId="26" xfId="46" applyNumberFormat="1" applyFont="1" applyBorder="1" applyAlignment="1">
      <alignment horizontal="left" vertical="center"/>
    </xf>
    <xf numFmtId="0" fontId="24" fillId="0" borderId="12" xfId="37" applyFont="1" applyBorder="1" applyAlignment="1">
      <alignment horizontal="center" vertical="center"/>
    </xf>
    <xf numFmtId="0" fontId="24" fillId="0" borderId="26" xfId="37" applyFont="1" applyBorder="1" applyAlignment="1">
      <alignment horizontal="center" vertical="center"/>
    </xf>
    <xf numFmtId="2" fontId="116" fillId="0" borderId="12" xfId="0" applyNumberFormat="1" applyFont="1" applyBorder="1" applyAlignment="1">
      <alignment horizontal="left" vertical="center"/>
    </xf>
    <xf numFmtId="2" fontId="116" fillId="0" borderId="13" xfId="0" applyNumberFormat="1" applyFont="1" applyBorder="1" applyAlignment="1">
      <alignment horizontal="left" vertical="center"/>
    </xf>
    <xf numFmtId="2" fontId="116" fillId="0" borderId="14" xfId="0" applyNumberFormat="1" applyFont="1" applyBorder="1" applyAlignment="1">
      <alignment horizontal="left" vertical="center"/>
    </xf>
    <xf numFmtId="2" fontId="106" fillId="0" borderId="12" xfId="0" applyNumberFormat="1" applyFont="1" applyBorder="1" applyAlignment="1">
      <alignment horizontal="left" vertical="top"/>
    </xf>
    <xf numFmtId="2" fontId="106" fillId="0" borderId="13" xfId="0" applyNumberFormat="1" applyFont="1" applyBorder="1" applyAlignment="1">
      <alignment horizontal="left" vertical="top"/>
    </xf>
    <xf numFmtId="2" fontId="106" fillId="0" borderId="14" xfId="0" applyNumberFormat="1" applyFont="1" applyBorder="1" applyAlignment="1">
      <alignment horizontal="left" vertical="top"/>
    </xf>
    <xf numFmtId="2" fontId="104" fillId="0" borderId="12" xfId="0" applyNumberFormat="1" applyFont="1" applyBorder="1" applyAlignment="1">
      <alignment horizontal="left" vertical="center"/>
    </xf>
    <xf numFmtId="2" fontId="104" fillId="0" borderId="13" xfId="0" applyNumberFormat="1" applyFont="1" applyBorder="1" applyAlignment="1">
      <alignment horizontal="left" vertical="center"/>
    </xf>
    <xf numFmtId="2" fontId="104" fillId="0" borderId="14" xfId="0" applyNumberFormat="1" applyFont="1" applyBorder="1" applyAlignment="1">
      <alignment horizontal="left" vertical="center"/>
    </xf>
    <xf numFmtId="2" fontId="104" fillId="0" borderId="10" xfId="0" applyNumberFormat="1" applyFont="1" applyBorder="1" applyAlignment="1">
      <alignment horizontal="left" vertical="center"/>
    </xf>
    <xf numFmtId="2" fontId="116" fillId="0" borderId="10" xfId="0" applyNumberFormat="1" applyFont="1" applyBorder="1" applyAlignment="1">
      <alignment horizontal="center" vertical="center"/>
    </xf>
    <xf numFmtId="0" fontId="106" fillId="0" borderId="12" xfId="37" applyFont="1" applyBorder="1" applyAlignment="1">
      <alignment horizontal="left" vertical="center"/>
    </xf>
    <xf numFmtId="0" fontId="106" fillId="0" borderId="13" xfId="37" applyFont="1" applyBorder="1" applyAlignment="1">
      <alignment horizontal="left" vertical="center"/>
    </xf>
    <xf numFmtId="0" fontId="106" fillId="0" borderId="14" xfId="37" applyFont="1" applyBorder="1" applyAlignment="1">
      <alignment horizontal="left" vertical="center"/>
    </xf>
    <xf numFmtId="3" fontId="113" fillId="0" borderId="12" xfId="37" applyNumberFormat="1" applyFont="1" applyBorder="1" applyAlignment="1">
      <alignment horizontal="center" vertical="center"/>
    </xf>
    <xf numFmtId="3" fontId="113" fillId="0" borderId="13" xfId="37" applyNumberFormat="1" applyFont="1" applyBorder="1" applyAlignment="1">
      <alignment horizontal="center" vertical="center"/>
    </xf>
    <xf numFmtId="3" fontId="113" fillId="0" borderId="14" xfId="37" applyNumberFormat="1" applyFont="1" applyBorder="1" applyAlignment="1">
      <alignment horizontal="center" vertical="center"/>
    </xf>
    <xf numFmtId="9" fontId="113" fillId="0" borderId="10" xfId="37" applyNumberFormat="1" applyFont="1" applyBorder="1" applyAlignment="1">
      <alignment horizontal="center" vertical="center"/>
    </xf>
    <xf numFmtId="0" fontId="113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 wrapText="1"/>
    </xf>
    <xf numFmtId="0" fontId="104" fillId="0" borderId="26" xfId="37" applyFont="1" applyBorder="1" applyAlignment="1">
      <alignment horizontal="center" vertical="center" wrapText="1"/>
    </xf>
    <xf numFmtId="9" fontId="113" fillId="0" borderId="18" xfId="37" applyNumberFormat="1" applyFont="1" applyBorder="1" applyAlignment="1">
      <alignment horizontal="center" vertical="center"/>
    </xf>
    <xf numFmtId="9" fontId="113" fillId="0" borderId="19" xfId="37" applyNumberFormat="1" applyFont="1" applyBorder="1" applyAlignment="1">
      <alignment horizontal="center" vertical="center"/>
    </xf>
    <xf numFmtId="170" fontId="91" fillId="0" borderId="12" xfId="37" applyNumberFormat="1" applyFont="1" applyBorder="1" applyAlignment="1">
      <alignment horizontal="center" vertical="center"/>
    </xf>
    <xf numFmtId="170" fontId="91" fillId="0" borderId="26" xfId="37" applyNumberFormat="1" applyFont="1" applyBorder="1" applyAlignment="1">
      <alignment horizontal="center" vertical="center"/>
    </xf>
    <xf numFmtId="170" fontId="29" fillId="0" borderId="12" xfId="37" applyNumberFormat="1" applyFont="1" applyBorder="1" applyAlignment="1">
      <alignment horizontal="center" vertical="center"/>
    </xf>
    <xf numFmtId="170" fontId="29" fillId="0" borderId="26" xfId="37" applyNumberFormat="1" applyFont="1" applyBorder="1" applyAlignment="1">
      <alignment horizontal="center" vertical="center"/>
    </xf>
    <xf numFmtId="170" fontId="29" fillId="0" borderId="12" xfId="46" applyNumberFormat="1" applyFont="1" applyBorder="1" applyAlignment="1">
      <alignment horizontal="center" vertical="center"/>
    </xf>
    <xf numFmtId="170" fontId="29" fillId="0" borderId="26" xfId="46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 wrapText="1"/>
    </xf>
    <xf numFmtId="0" fontId="128" fillId="0" borderId="27" xfId="37" applyFont="1" applyBorder="1" applyAlignment="1">
      <alignment horizontal="right" vertical="center"/>
    </xf>
    <xf numFmtId="0" fontId="128" fillId="0" borderId="28" xfId="37" applyFont="1" applyBorder="1" applyAlignment="1">
      <alignment horizontal="right" vertical="center"/>
    </xf>
    <xf numFmtId="0" fontId="116" fillId="0" borderId="10" xfId="37" applyFont="1" applyBorder="1" applyAlignment="1">
      <alignment horizontal="left" vertical="center"/>
    </xf>
    <xf numFmtId="0" fontId="127" fillId="0" borderId="23" xfId="37" applyFont="1" applyBorder="1" applyAlignment="1">
      <alignment horizontal="center" vertical="top"/>
    </xf>
    <xf numFmtId="0" fontId="127" fillId="0" borderId="25" xfId="37" applyFont="1" applyBorder="1" applyAlignment="1">
      <alignment horizontal="center" vertical="top"/>
    </xf>
    <xf numFmtId="0" fontId="116" fillId="0" borderId="17" xfId="37" applyFont="1" applyBorder="1" applyAlignment="1">
      <alignment horizontal="center" vertical="center" wrapText="1"/>
    </xf>
    <xf numFmtId="0" fontId="116" fillId="0" borderId="19" xfId="37" applyFont="1" applyBorder="1" applyAlignment="1">
      <alignment horizontal="center" vertical="center" wrapText="1"/>
    </xf>
    <xf numFmtId="0" fontId="116" fillId="0" borderId="11" xfId="37" applyFont="1" applyBorder="1" applyAlignment="1">
      <alignment horizontal="center" vertical="center" wrapText="1"/>
    </xf>
    <xf numFmtId="0" fontId="116" fillId="0" borderId="20" xfId="37" applyFont="1" applyBorder="1" applyAlignment="1">
      <alignment horizontal="center" vertical="center" wrapText="1"/>
    </xf>
    <xf numFmtId="0" fontId="104" fillId="0" borderId="10" xfId="37" applyFont="1" applyBorder="1" applyAlignment="1">
      <alignment horizontal="center" vertical="center" wrapText="1"/>
    </xf>
    <xf numFmtId="0" fontId="104" fillId="0" borderId="14" xfId="37" applyFont="1" applyBorder="1" applyAlignment="1">
      <alignment horizontal="center" vertical="center" wrapText="1"/>
    </xf>
    <xf numFmtId="0" fontId="116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127" fillId="0" borderId="24" xfId="37" applyFont="1" applyBorder="1" applyAlignment="1">
      <alignment horizontal="center" vertical="top"/>
    </xf>
    <xf numFmtId="0" fontId="106" fillId="0" borderId="10" xfId="37" applyFont="1" applyBorder="1" applyAlignment="1">
      <alignment horizontal="left" vertical="center"/>
    </xf>
    <xf numFmtId="0" fontId="106" fillId="0" borderId="21" xfId="37" applyFont="1" applyBorder="1" applyAlignment="1">
      <alignment horizontal="left" vertical="center"/>
    </xf>
    <xf numFmtId="0" fontId="131" fillId="0" borderId="10" xfId="37" applyFont="1" applyBorder="1" applyAlignment="1">
      <alignment horizontal="center" vertical="center"/>
    </xf>
    <xf numFmtId="0" fontId="115" fillId="0" borderId="10" xfId="37" applyFont="1" applyBorder="1" applyAlignment="1">
      <alignment horizontal="center" vertical="center"/>
    </xf>
    <xf numFmtId="0" fontId="115" fillId="0" borderId="12" xfId="37" applyFont="1" applyBorder="1" applyAlignment="1">
      <alignment horizontal="center" vertical="center"/>
    </xf>
    <xf numFmtId="0" fontId="115" fillId="0" borderId="13" xfId="37" applyFont="1" applyBorder="1" applyAlignment="1">
      <alignment horizontal="center" vertical="center"/>
    </xf>
    <xf numFmtId="0" fontId="115" fillId="0" borderId="14" xfId="37" applyFont="1" applyBorder="1" applyAlignment="1">
      <alignment horizontal="center" vertical="center"/>
    </xf>
    <xf numFmtId="0" fontId="116" fillId="0" borderId="21" xfId="37" applyFont="1" applyBorder="1" applyAlignment="1">
      <alignment horizontal="left" vertical="center"/>
    </xf>
    <xf numFmtId="0" fontId="106" fillId="0" borderId="12" xfId="37" applyFont="1" applyBorder="1" applyAlignment="1">
      <alignment horizontal="left" vertical="top"/>
    </xf>
    <xf numFmtId="0" fontId="106" fillId="0" borderId="13" xfId="37" applyFont="1" applyBorder="1" applyAlignment="1">
      <alignment horizontal="left" vertical="top"/>
    </xf>
    <xf numFmtId="0" fontId="106" fillId="0" borderId="14" xfId="37" applyFont="1" applyBorder="1" applyAlignment="1">
      <alignment horizontal="left" vertical="top"/>
    </xf>
    <xf numFmtId="0" fontId="106" fillId="0" borderId="10" xfId="37" applyFont="1" applyBorder="1" applyAlignment="1">
      <alignment horizontal="center" vertical="center"/>
    </xf>
    <xf numFmtId="2" fontId="121" fillId="0" borderId="12" xfId="37" applyNumberFormat="1" applyFont="1" applyBorder="1" applyAlignment="1">
      <alignment horizontal="center" vertical="center"/>
    </xf>
    <xf numFmtId="2" fontId="121" fillId="0" borderId="13" xfId="37" applyNumberFormat="1" applyFont="1" applyBorder="1" applyAlignment="1">
      <alignment horizontal="center" vertical="center"/>
    </xf>
    <xf numFmtId="2" fontId="121" fillId="0" borderId="14" xfId="37" applyNumberFormat="1" applyFont="1" applyBorder="1" applyAlignment="1">
      <alignment horizontal="center" vertical="center"/>
    </xf>
    <xf numFmtId="2" fontId="121" fillId="0" borderId="10" xfId="37" applyNumberFormat="1" applyFont="1" applyBorder="1" applyAlignment="1">
      <alignment horizontal="center" vertical="center"/>
    </xf>
    <xf numFmtId="0" fontId="116" fillId="0" borderId="12" xfId="37" applyFont="1" applyBorder="1" applyAlignment="1">
      <alignment horizontal="right" vertical="center"/>
    </xf>
    <xf numFmtId="0" fontId="116" fillId="0" borderId="13" xfId="37" applyFont="1" applyBorder="1" applyAlignment="1">
      <alignment horizontal="right" vertical="center"/>
    </xf>
    <xf numFmtId="0" fontId="116" fillId="0" borderId="14" xfId="37" applyFont="1" applyBorder="1" applyAlignment="1">
      <alignment horizontal="right" vertical="center"/>
    </xf>
    <xf numFmtId="0" fontId="111" fillId="0" borderId="12" xfId="37" applyFont="1" applyBorder="1" applyAlignment="1">
      <alignment horizontal="left"/>
    </xf>
    <xf numFmtId="0" fontId="111" fillId="0" borderId="13" xfId="37" applyFont="1" applyBorder="1" applyAlignment="1">
      <alignment horizontal="left"/>
    </xf>
    <xf numFmtId="0" fontId="106" fillId="0" borderId="13" xfId="37" applyFont="1" applyBorder="1" applyAlignment="1">
      <alignment horizontal="right" vertical="center"/>
    </xf>
    <xf numFmtId="0" fontId="106" fillId="0" borderId="14" xfId="37" applyFont="1" applyBorder="1" applyAlignment="1">
      <alignment horizontal="right" vertical="center"/>
    </xf>
    <xf numFmtId="0" fontId="25" fillId="0" borderId="10" xfId="37" applyFont="1" applyBorder="1" applyAlignment="1">
      <alignment horizontal="center" vertical="center"/>
    </xf>
    <xf numFmtId="0" fontId="25" fillId="0" borderId="21" xfId="37" applyFont="1" applyBorder="1" applyAlignment="1">
      <alignment horizontal="center" vertical="center"/>
    </xf>
    <xf numFmtId="0" fontId="104" fillId="0" borderId="18" xfId="37" applyFont="1" applyBorder="1" applyAlignment="1">
      <alignment horizontal="left" vertical="center" wrapText="1"/>
    </xf>
    <xf numFmtId="0" fontId="104" fillId="0" borderId="19" xfId="37" applyFont="1" applyBorder="1" applyAlignment="1">
      <alignment horizontal="left" vertical="center" wrapText="1"/>
    </xf>
    <xf numFmtId="0" fontId="104" fillId="0" borderId="16" xfId="37" applyFont="1" applyBorder="1" applyAlignment="1">
      <alignment horizontal="left" vertical="center" wrapText="1"/>
    </xf>
    <xf numFmtId="0" fontId="104" fillId="0" borderId="20" xfId="37" applyFont="1" applyBorder="1" applyAlignment="1">
      <alignment horizontal="left" vertical="center" wrapText="1"/>
    </xf>
    <xf numFmtId="0" fontId="106" fillId="0" borderId="12" xfId="37" applyFont="1" applyBorder="1" applyAlignment="1">
      <alignment horizontal="center" vertical="center"/>
    </xf>
    <xf numFmtId="0" fontId="106" fillId="0" borderId="13" xfId="37" applyFont="1" applyBorder="1" applyAlignment="1">
      <alignment horizontal="center" vertical="center"/>
    </xf>
    <xf numFmtId="0" fontId="106" fillId="0" borderId="14" xfId="37" applyFont="1" applyBorder="1" applyAlignment="1">
      <alignment horizontal="center" vertical="center"/>
    </xf>
    <xf numFmtId="0" fontId="106" fillId="0" borderId="10" xfId="37" applyFont="1" applyBorder="1" applyAlignment="1">
      <alignment horizontal="center" vertical="top"/>
    </xf>
    <xf numFmtId="0" fontId="111" fillId="0" borderId="12" xfId="37" applyFont="1" applyBorder="1" applyAlignment="1">
      <alignment horizontal="left" vertical="top" wrapText="1"/>
    </xf>
    <xf numFmtId="0" fontId="111" fillId="0" borderId="13" xfId="37" applyFont="1" applyBorder="1" applyAlignment="1">
      <alignment horizontal="left" vertical="top" wrapText="1"/>
    </xf>
    <xf numFmtId="0" fontId="111" fillId="0" borderId="14" xfId="37" applyFont="1" applyBorder="1" applyAlignment="1">
      <alignment horizontal="left" vertical="top" wrapText="1"/>
    </xf>
    <xf numFmtId="0" fontId="111" fillId="0" borderId="12" xfId="37" applyFont="1" applyBorder="1" applyAlignment="1">
      <alignment horizontal="left" vertical="center" wrapText="1"/>
    </xf>
    <xf numFmtId="0" fontId="111" fillId="0" borderId="13" xfId="37" applyFont="1" applyBorder="1" applyAlignment="1">
      <alignment horizontal="left" vertical="center" wrapText="1"/>
    </xf>
    <xf numFmtId="0" fontId="111" fillId="0" borderId="14" xfId="37" applyFont="1" applyBorder="1" applyAlignment="1">
      <alignment horizontal="left" vertical="center" wrapText="1"/>
    </xf>
    <xf numFmtId="0" fontId="116" fillId="0" borderId="12" xfId="37" applyFont="1" applyBorder="1" applyAlignment="1">
      <alignment horizontal="right" indent="1"/>
    </xf>
    <xf numFmtId="0" fontId="116" fillId="0" borderId="13" xfId="37" applyFont="1" applyBorder="1" applyAlignment="1">
      <alignment horizontal="right" indent="1"/>
    </xf>
    <xf numFmtId="0" fontId="116" fillId="0" borderId="14" xfId="37" applyFont="1" applyBorder="1" applyAlignment="1">
      <alignment horizontal="right" indent="1"/>
    </xf>
    <xf numFmtId="0" fontId="116" fillId="0" borderId="12" xfId="37" applyFont="1" applyBorder="1" applyAlignment="1">
      <alignment horizontal="right" vertical="center" indent="1"/>
    </xf>
    <xf numFmtId="0" fontId="116" fillId="0" borderId="13" xfId="37" applyFont="1" applyBorder="1" applyAlignment="1">
      <alignment horizontal="right" vertical="center" indent="1"/>
    </xf>
    <xf numFmtId="0" fontId="116" fillId="0" borderId="14" xfId="37" applyFont="1" applyBorder="1" applyAlignment="1">
      <alignment horizontal="right" vertical="center" indent="1"/>
    </xf>
    <xf numFmtId="0" fontId="133" fillId="0" borderId="10" xfId="37" applyFont="1" applyBorder="1" applyAlignment="1">
      <alignment horizontal="left" vertical="center"/>
    </xf>
    <xf numFmtId="0" fontId="150" fillId="28" borderId="10" xfId="0" applyFont="1" applyFill="1" applyBorder="1" applyAlignment="1">
      <alignment horizontal="center" wrapText="1"/>
    </xf>
    <xf numFmtId="0" fontId="98" fillId="0" borderId="35" xfId="37" applyFont="1" applyBorder="1" applyAlignment="1">
      <alignment horizontal="right" vertical="center"/>
    </xf>
    <xf numFmtId="0" fontId="98" fillId="0" borderId="36" xfId="37" applyFont="1" applyBorder="1" applyAlignment="1">
      <alignment horizontal="right" vertical="center"/>
    </xf>
    <xf numFmtId="0" fontId="65" fillId="0" borderId="36" xfId="37" applyFont="1" applyBorder="1" applyAlignment="1">
      <alignment horizontal="center" vertical="center"/>
    </xf>
    <xf numFmtId="0" fontId="65" fillId="0" borderId="37" xfId="37" applyFont="1" applyBorder="1" applyAlignment="1">
      <alignment horizontal="center" vertical="center"/>
    </xf>
    <xf numFmtId="0" fontId="65" fillId="0" borderId="48" xfId="37" applyFont="1" applyBorder="1" applyAlignment="1">
      <alignment horizontal="center" vertical="center"/>
    </xf>
    <xf numFmtId="0" fontId="65" fillId="0" borderId="50" xfId="37" applyFont="1" applyBorder="1" applyAlignment="1">
      <alignment horizontal="center" vertical="center"/>
    </xf>
    <xf numFmtId="0" fontId="160" fillId="0" borderId="49" xfId="37" applyFont="1" applyBorder="1" applyAlignment="1">
      <alignment horizontal="right" vertical="center"/>
    </xf>
    <xf numFmtId="0" fontId="160" fillId="0" borderId="48" xfId="37" applyFont="1" applyBorder="1" applyAlignment="1">
      <alignment horizontal="right" vertical="center"/>
    </xf>
    <xf numFmtId="0" fontId="104" fillId="0" borderId="31" xfId="37" applyFont="1" applyBorder="1" applyAlignment="1">
      <alignment horizontal="left" vertical="center"/>
    </xf>
    <xf numFmtId="0" fontId="104" fillId="0" borderId="32" xfId="37" applyFont="1" applyBorder="1" applyAlignment="1">
      <alignment horizontal="left" vertical="center"/>
    </xf>
    <xf numFmtId="0" fontId="101" fillId="0" borderId="32" xfId="38" applyFont="1" applyBorder="1" applyAlignment="1">
      <alignment horizontal="left" vertical="center"/>
    </xf>
    <xf numFmtId="0" fontId="101" fillId="0" borderId="32" xfId="37" applyFont="1" applyBorder="1" applyAlignment="1">
      <alignment horizontal="left" vertical="center"/>
    </xf>
    <xf numFmtId="0" fontId="99" fillId="0" borderId="32" xfId="37" applyFont="1" applyBorder="1" applyAlignment="1">
      <alignment horizontal="left" vertical="center"/>
    </xf>
    <xf numFmtId="0" fontId="99" fillId="0" borderId="46" xfId="37" applyFont="1" applyBorder="1" applyAlignment="1">
      <alignment horizontal="left" vertical="center"/>
    </xf>
    <xf numFmtId="0" fontId="106" fillId="0" borderId="18" xfId="37" applyFont="1" applyBorder="1" applyAlignment="1">
      <alignment horizontal="center" vertical="center"/>
    </xf>
    <xf numFmtId="0" fontId="107" fillId="0" borderId="45" xfId="0" applyFont="1" applyBorder="1"/>
    <xf numFmtId="0" fontId="107" fillId="0" borderId="34" xfId="0" applyFont="1" applyBorder="1"/>
    <xf numFmtId="0" fontId="107" fillId="0" borderId="39" xfId="0" applyFont="1" applyBorder="1"/>
    <xf numFmtId="0" fontId="107" fillId="0" borderId="16" xfId="0" applyFont="1" applyBorder="1"/>
    <xf numFmtId="0" fontId="107" fillId="0" borderId="40" xfId="0" applyFont="1" applyBorder="1"/>
    <xf numFmtId="0" fontId="106" fillId="0" borderId="15" xfId="37" applyFont="1" applyBorder="1" applyAlignment="1">
      <alignment horizontal="left" vertical="center"/>
    </xf>
    <xf numFmtId="0" fontId="116" fillId="0" borderId="10" xfId="37" applyFont="1" applyBorder="1" applyAlignment="1">
      <alignment horizontal="right" vertical="center" indent="1"/>
    </xf>
    <xf numFmtId="0" fontId="127" fillId="0" borderId="22" xfId="37" applyFont="1" applyBorder="1" applyAlignment="1">
      <alignment horizontal="center" vertical="top"/>
    </xf>
    <xf numFmtId="0" fontId="104" fillId="0" borderId="10" xfId="37" applyFont="1" applyBorder="1" applyAlignment="1">
      <alignment horizontal="left" vertical="center"/>
    </xf>
    <xf numFmtId="170" fontId="102" fillId="0" borderId="12" xfId="46" applyNumberFormat="1" applyFont="1" applyBorder="1" applyAlignment="1">
      <alignment horizontal="center" vertical="center"/>
    </xf>
    <xf numFmtId="170" fontId="102" fillId="0" borderId="26" xfId="46" applyNumberFormat="1" applyFont="1" applyBorder="1" applyAlignment="1">
      <alignment horizontal="center" vertical="center"/>
    </xf>
    <xf numFmtId="0" fontId="146" fillId="0" borderId="12" xfId="37" applyFont="1" applyBorder="1" applyAlignment="1">
      <alignment horizontal="center" vertical="center"/>
    </xf>
    <xf numFmtId="0" fontId="146" fillId="0" borderId="26" xfId="37" applyFont="1" applyBorder="1" applyAlignment="1">
      <alignment horizontal="center" vertical="center"/>
    </xf>
    <xf numFmtId="170" fontId="121" fillId="0" borderId="12" xfId="46" applyNumberFormat="1" applyFont="1" applyBorder="1" applyAlignment="1">
      <alignment horizontal="center" vertical="center"/>
    </xf>
    <xf numFmtId="170" fontId="121" fillId="0" borderId="26" xfId="46" applyNumberFormat="1" applyFont="1" applyBorder="1" applyAlignment="1">
      <alignment horizontal="center" vertical="center"/>
    </xf>
    <xf numFmtId="170" fontId="121" fillId="0" borderId="12" xfId="46" applyNumberFormat="1" applyFont="1" applyBorder="1" applyAlignment="1" applyProtection="1">
      <alignment horizontal="center" vertical="center"/>
      <protection hidden="1"/>
    </xf>
    <xf numFmtId="170" fontId="121" fillId="0" borderId="26" xfId="46" applyNumberFormat="1" applyFont="1" applyBorder="1" applyAlignment="1" applyProtection="1">
      <alignment horizontal="center" vertical="center"/>
      <protection hidden="1"/>
    </xf>
    <xf numFmtId="42" fontId="113" fillId="0" borderId="12" xfId="46" applyNumberFormat="1" applyFont="1" applyBorder="1" applyAlignment="1">
      <alignment horizontal="left" vertical="center"/>
    </xf>
    <xf numFmtId="42" fontId="113" fillId="0" borderId="14" xfId="46" applyNumberFormat="1" applyFont="1" applyBorder="1" applyAlignment="1">
      <alignment horizontal="left" vertical="center"/>
    </xf>
    <xf numFmtId="42" fontId="113" fillId="0" borderId="18" xfId="46" applyNumberFormat="1" applyFont="1" applyBorder="1" applyAlignment="1">
      <alignment horizontal="center" vertical="center"/>
    </xf>
    <xf numFmtId="42" fontId="113" fillId="0" borderId="19" xfId="46" applyNumberFormat="1" applyFont="1" applyBorder="1" applyAlignment="1">
      <alignment horizontal="center" vertical="center"/>
    </xf>
    <xf numFmtId="42" fontId="113" fillId="0" borderId="16" xfId="46" applyNumberFormat="1" applyFont="1" applyBorder="1" applyAlignment="1">
      <alignment horizontal="center" vertical="center"/>
    </xf>
    <xf numFmtId="42" fontId="113" fillId="0" borderId="20" xfId="46" applyNumberFormat="1" applyFont="1" applyBorder="1" applyAlignment="1">
      <alignment horizontal="center" vertical="center"/>
    </xf>
    <xf numFmtId="42" fontId="126" fillId="0" borderId="12" xfId="46" applyNumberFormat="1" applyFont="1" applyBorder="1" applyAlignment="1">
      <alignment horizontal="left" vertical="center"/>
    </xf>
    <xf numFmtId="42" fontId="126" fillId="0" borderId="14" xfId="46" applyNumberFormat="1" applyFont="1" applyBorder="1" applyAlignment="1">
      <alignment horizontal="left" vertical="center"/>
    </xf>
    <xf numFmtId="0" fontId="113" fillId="0" borderId="12" xfId="37" applyFont="1" applyBorder="1" applyAlignment="1">
      <alignment horizontal="center" vertical="center"/>
    </xf>
    <xf numFmtId="0" fontId="113" fillId="0" borderId="14" xfId="37" applyFont="1" applyBorder="1" applyAlignment="1">
      <alignment horizontal="center" vertical="center"/>
    </xf>
    <xf numFmtId="0" fontId="113" fillId="0" borderId="13" xfId="37" applyFont="1" applyBorder="1" applyAlignment="1">
      <alignment horizontal="center" vertical="center"/>
    </xf>
    <xf numFmtId="0" fontId="142" fillId="0" borderId="23" xfId="37" applyFont="1" applyBorder="1" applyAlignment="1">
      <alignment horizontal="center" vertical="top"/>
    </xf>
    <xf numFmtId="0" fontId="142" fillId="0" borderId="24" xfId="37" applyFont="1" applyBorder="1" applyAlignment="1">
      <alignment horizontal="center" vertical="top"/>
    </xf>
    <xf numFmtId="0" fontId="142" fillId="0" borderId="25" xfId="37" applyFont="1" applyBorder="1" applyAlignment="1">
      <alignment horizontal="center" vertical="top"/>
    </xf>
    <xf numFmtId="0" fontId="144" fillId="0" borderId="10" xfId="37" applyFont="1" applyBorder="1" applyAlignment="1">
      <alignment horizontal="left" vertical="center"/>
    </xf>
    <xf numFmtId="170" fontId="105" fillId="0" borderId="12" xfId="46" applyNumberFormat="1" applyFont="1" applyBorder="1" applyAlignment="1">
      <alignment horizontal="center" vertical="center"/>
    </xf>
    <xf numFmtId="170" fontId="105" fillId="0" borderId="26" xfId="46" applyNumberFormat="1" applyFont="1" applyBorder="1" applyAlignment="1">
      <alignment horizontal="center" vertical="center"/>
    </xf>
    <xf numFmtId="0" fontId="35" fillId="0" borderId="0" xfId="37" applyFont="1" applyAlignment="1">
      <alignment horizontal="center" vertical="center" wrapText="1"/>
    </xf>
    <xf numFmtId="2" fontId="134" fillId="0" borderId="12" xfId="0" applyNumberFormat="1" applyFont="1" applyBorder="1" applyAlignment="1">
      <alignment horizontal="left" vertical="center"/>
    </xf>
    <xf numFmtId="2" fontId="134" fillId="0" borderId="13" xfId="0" applyNumberFormat="1" applyFont="1" applyBorder="1" applyAlignment="1">
      <alignment horizontal="left" vertical="center"/>
    </xf>
    <xf numFmtId="2" fontId="134" fillId="0" borderId="14" xfId="0" applyNumberFormat="1" applyFont="1" applyBorder="1" applyAlignment="1">
      <alignment horizontal="left" vertical="center"/>
    </xf>
    <xf numFmtId="0" fontId="104" fillId="0" borderId="21" xfId="37" applyFont="1" applyBorder="1" applyAlignment="1">
      <alignment horizontal="left" vertical="center"/>
    </xf>
    <xf numFmtId="0" fontId="112" fillId="0" borderId="10" xfId="37" applyFont="1" applyBorder="1" applyAlignment="1">
      <alignment horizontal="center" vertical="center"/>
    </xf>
    <xf numFmtId="0" fontId="112" fillId="0" borderId="12" xfId="37" applyFont="1" applyBorder="1" applyAlignment="1">
      <alignment horizontal="center" vertical="center"/>
    </xf>
    <xf numFmtId="0" fontId="112" fillId="0" borderId="13" xfId="37" applyFont="1" applyBorder="1" applyAlignment="1">
      <alignment horizontal="center" vertical="center"/>
    </xf>
    <xf numFmtId="0" fontId="112" fillId="0" borderId="14" xfId="37" applyFont="1" applyBorder="1" applyAlignment="1">
      <alignment horizontal="center" vertical="center"/>
    </xf>
    <xf numFmtId="2" fontId="104" fillId="0" borderId="12" xfId="0" applyNumberFormat="1" applyFont="1" applyBorder="1" applyAlignment="1">
      <alignment horizontal="left" vertical="top"/>
    </xf>
    <xf numFmtId="2" fontId="104" fillId="0" borderId="13" xfId="0" applyNumberFormat="1" applyFont="1" applyBorder="1" applyAlignment="1">
      <alignment horizontal="left" vertical="top"/>
    </xf>
    <xf numFmtId="2" fontId="104" fillId="0" borderId="14" xfId="0" applyNumberFormat="1" applyFont="1" applyBorder="1" applyAlignment="1">
      <alignment horizontal="left" vertical="top"/>
    </xf>
    <xf numFmtId="0" fontId="147" fillId="0" borderId="12" xfId="37" applyFont="1" applyBorder="1" applyAlignment="1">
      <alignment horizontal="center" vertical="center" wrapText="1"/>
    </xf>
    <xf numFmtId="0" fontId="147" fillId="0" borderId="26" xfId="37" applyFont="1" applyBorder="1" applyAlignment="1">
      <alignment horizontal="center" vertical="center" wrapText="1"/>
    </xf>
    <xf numFmtId="9" fontId="113" fillId="0" borderId="12" xfId="37" applyNumberFormat="1" applyFont="1" applyBorder="1" applyAlignment="1">
      <alignment horizontal="center" vertical="center"/>
    </xf>
    <xf numFmtId="9" fontId="113" fillId="0" borderId="14" xfId="37" applyNumberFormat="1" applyFont="1" applyBorder="1" applyAlignment="1">
      <alignment horizontal="center" vertical="center"/>
    </xf>
    <xf numFmtId="0" fontId="132" fillId="0" borderId="12" xfId="37" applyFont="1" applyBorder="1" applyAlignment="1">
      <alignment horizontal="center" vertical="center"/>
    </xf>
    <xf numFmtId="0" fontId="132" fillId="0" borderId="13" xfId="37" applyFont="1" applyBorder="1" applyAlignment="1">
      <alignment horizontal="center" vertical="center"/>
    </xf>
    <xf numFmtId="0" fontId="132" fillId="0" borderId="14" xfId="37" applyFont="1" applyBorder="1" applyAlignment="1">
      <alignment horizontal="center" vertical="center"/>
    </xf>
    <xf numFmtId="0" fontId="103" fillId="0" borderId="42" xfId="37" applyFont="1" applyBorder="1" applyAlignment="1">
      <alignment horizontal="right" vertical="center"/>
    </xf>
    <xf numFmtId="0" fontId="141" fillId="0" borderId="43" xfId="0" applyFont="1" applyBorder="1"/>
    <xf numFmtId="0" fontId="141" fillId="0" borderId="51" xfId="0" applyFont="1" applyBorder="1"/>
    <xf numFmtId="0" fontId="104" fillId="0" borderId="12" xfId="37" applyFont="1" applyBorder="1" applyAlignment="1">
      <alignment horizontal="left" vertical="center"/>
    </xf>
    <xf numFmtId="0" fontId="104" fillId="0" borderId="13" xfId="37" applyFont="1" applyBorder="1" applyAlignment="1">
      <alignment horizontal="left" vertical="center"/>
    </xf>
    <xf numFmtId="0" fontId="104" fillId="0" borderId="14" xfId="37" applyFont="1" applyBorder="1" applyAlignment="1">
      <alignment horizontal="left" vertical="center"/>
    </xf>
    <xf numFmtId="0" fontId="134" fillId="0" borderId="10" xfId="37" applyFont="1" applyBorder="1" applyAlignment="1">
      <alignment horizontal="left" vertical="center"/>
    </xf>
    <xf numFmtId="0" fontId="140" fillId="0" borderId="17" xfId="37" applyFont="1" applyBorder="1" applyAlignment="1">
      <alignment horizontal="center" vertical="center" wrapText="1"/>
    </xf>
    <xf numFmtId="0" fontId="140" fillId="0" borderId="19" xfId="37" applyFont="1" applyBorder="1" applyAlignment="1">
      <alignment horizontal="center" vertical="center" wrapText="1"/>
    </xf>
    <xf numFmtId="0" fontId="140" fillId="0" borderId="11" xfId="37" applyFont="1" applyBorder="1" applyAlignment="1">
      <alignment horizontal="center" vertical="center" wrapText="1"/>
    </xf>
    <xf numFmtId="0" fontId="140" fillId="0" borderId="20" xfId="37" applyFont="1" applyBorder="1" applyAlignment="1">
      <alignment horizontal="center" vertical="center" wrapText="1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65" fillId="0" borderId="32" xfId="37" applyFont="1" applyBorder="1" applyAlignment="1">
      <alignment horizontal="center" vertical="center"/>
    </xf>
    <xf numFmtId="0" fontId="165" fillId="0" borderId="46" xfId="37" applyFont="1" applyBorder="1" applyAlignment="1">
      <alignment horizontal="center" vertical="center"/>
    </xf>
    <xf numFmtId="0" fontId="111" fillId="0" borderId="10" xfId="37" applyFont="1" applyBorder="1" applyAlignment="1">
      <alignment horizontal="left" vertical="center"/>
    </xf>
    <xf numFmtId="0" fontId="111" fillId="0" borderId="21" xfId="37" applyFont="1" applyBorder="1" applyAlignment="1">
      <alignment horizontal="left" vertical="center"/>
    </xf>
    <xf numFmtId="0" fontId="106" fillId="0" borderId="10" xfId="37" applyFont="1" applyBorder="1" applyAlignment="1">
      <alignment vertical="center"/>
    </xf>
    <xf numFmtId="0" fontId="106" fillId="0" borderId="45" xfId="37" applyFont="1" applyBorder="1" applyAlignment="1">
      <alignment horizontal="center" vertical="center"/>
    </xf>
    <xf numFmtId="0" fontId="106" fillId="0" borderId="34" xfId="37" applyFont="1" applyBorder="1" applyAlignment="1">
      <alignment horizontal="center" vertical="center"/>
    </xf>
    <xf numFmtId="0" fontId="106" fillId="0" borderId="39" xfId="37" applyFont="1" applyBorder="1" applyAlignment="1">
      <alignment horizontal="center" vertical="center"/>
    </xf>
    <xf numFmtId="0" fontId="113" fillId="0" borderId="12" xfId="37" applyFont="1" applyBorder="1" applyAlignment="1">
      <alignment horizontal="left" vertical="center"/>
    </xf>
    <xf numFmtId="0" fontId="113" fillId="0" borderId="13" xfId="37" applyFont="1" applyBorder="1" applyAlignment="1">
      <alignment horizontal="left" vertical="center"/>
    </xf>
    <xf numFmtId="0" fontId="113" fillId="0" borderId="14" xfId="37" applyFont="1" applyBorder="1" applyAlignment="1">
      <alignment horizontal="left" vertical="center"/>
    </xf>
    <xf numFmtId="42" fontId="113" fillId="0" borderId="12" xfId="46" applyNumberFormat="1" applyFont="1" applyBorder="1" applyAlignment="1">
      <alignment horizontal="center" vertical="center"/>
    </xf>
    <xf numFmtId="42" fontId="113" fillId="0" borderId="14" xfId="46" applyNumberFormat="1" applyFont="1" applyBorder="1" applyAlignment="1">
      <alignment horizontal="center" vertical="center"/>
    </xf>
    <xf numFmtId="0" fontId="142" fillId="0" borderId="22" xfId="37" applyFont="1" applyBorder="1" applyAlignment="1">
      <alignment horizontal="center" vertical="top"/>
    </xf>
    <xf numFmtId="0" fontId="42" fillId="0" borderId="0" xfId="37" applyFont="1" applyAlignment="1">
      <alignment horizontal="center"/>
    </xf>
    <xf numFmtId="0" fontId="104" fillId="0" borderId="12" xfId="37" applyFont="1" applyBorder="1" applyAlignment="1">
      <alignment horizontal="right" vertical="center" indent="1"/>
    </xf>
    <xf numFmtId="0" fontId="104" fillId="0" borderId="13" xfId="37" applyFont="1" applyBorder="1" applyAlignment="1">
      <alignment horizontal="right" vertical="center" indent="1"/>
    </xf>
    <xf numFmtId="0" fontId="104" fillId="0" borderId="14" xfId="37" applyFont="1" applyBorder="1" applyAlignment="1">
      <alignment horizontal="right" vertical="center" indent="1"/>
    </xf>
    <xf numFmtId="0" fontId="168" fillId="0" borderId="12" xfId="37" applyFont="1" applyBorder="1" applyAlignment="1">
      <alignment horizontal="left" vertical="top" wrapText="1"/>
    </xf>
    <xf numFmtId="0" fontId="168" fillId="0" borderId="13" xfId="37" applyFont="1" applyBorder="1" applyAlignment="1">
      <alignment horizontal="left" vertical="top" wrapText="1"/>
    </xf>
    <xf numFmtId="0" fontId="168" fillId="0" borderId="14" xfId="37" applyFont="1" applyBorder="1" applyAlignment="1">
      <alignment horizontal="left" vertical="top" wrapText="1"/>
    </xf>
    <xf numFmtId="0" fontId="106" fillId="0" borderId="18" xfId="37" applyFont="1" applyBorder="1" applyAlignment="1">
      <alignment horizontal="left" vertical="center" wrapText="1"/>
    </xf>
    <xf numFmtId="0" fontId="106" fillId="0" borderId="17" xfId="37" applyFont="1" applyBorder="1" applyAlignment="1">
      <alignment horizontal="left" vertical="center" wrapText="1"/>
    </xf>
    <xf numFmtId="0" fontId="106" fillId="0" borderId="19" xfId="37" applyFont="1" applyBorder="1" applyAlignment="1">
      <alignment horizontal="left" vertical="center" wrapText="1"/>
    </xf>
    <xf numFmtId="0" fontId="106" fillId="0" borderId="16" xfId="37" applyFont="1" applyBorder="1" applyAlignment="1">
      <alignment horizontal="left" vertical="center" wrapText="1"/>
    </xf>
    <xf numFmtId="0" fontId="106" fillId="0" borderId="11" xfId="37" applyFont="1" applyBorder="1" applyAlignment="1">
      <alignment horizontal="left" vertical="center" wrapText="1"/>
    </xf>
    <xf numFmtId="0" fontId="106" fillId="0" borderId="20" xfId="37" applyFont="1" applyBorder="1" applyAlignment="1">
      <alignment horizontal="left" vertical="center" wrapText="1"/>
    </xf>
    <xf numFmtId="0" fontId="110" fillId="0" borderId="47" xfId="37" applyFont="1" applyBorder="1" applyAlignment="1">
      <alignment horizontal="center" vertical="top"/>
    </xf>
    <xf numFmtId="0" fontId="110" fillId="0" borderId="15" xfId="37" applyFont="1" applyBorder="1" applyAlignment="1">
      <alignment horizontal="center" vertical="top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D"/>
      <color rgb="FF0066CC"/>
      <color rgb="FF0000FF"/>
      <color rgb="FFCCFFCC"/>
      <color rgb="FFCCCC00"/>
      <color rgb="FFFF66CC"/>
      <color rgb="FF0066FF"/>
      <color rgb="FFFFFFCC"/>
      <color rgb="FF16365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1142999</xdr:colOff>
      <xdr:row>4</xdr:row>
      <xdr:rowOff>104771</xdr:rowOff>
    </xdr:from>
    <xdr:to>
      <xdr:col>6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4</xdr:col>
      <xdr:colOff>266701</xdr:colOff>
      <xdr:row>27</xdr:row>
      <xdr:rowOff>117765</xdr:rowOff>
    </xdr:from>
    <xdr:to>
      <xdr:col>5</xdr:col>
      <xdr:colOff>923926</xdr:colOff>
      <xdr:row>34</xdr:row>
      <xdr:rowOff>384466</xdr:rowOff>
    </xdr:to>
    <xdr:sp macro="" textlink="">
      <xdr:nvSpPr>
        <xdr:cNvPr id="3" name="Sun 2">
          <a:extLst>
            <a:ext uri="{FF2B5EF4-FFF2-40B4-BE49-F238E27FC236}">
              <a16:creationId xmlns:a16="http://schemas.microsoft.com/office/drawing/2014/main" id="{DC82FA34-5DEA-417F-8B3C-CCFA21274438}"/>
            </a:ext>
          </a:extLst>
        </xdr:cNvPr>
        <xdr:cNvSpPr/>
      </xdr:nvSpPr>
      <xdr:spPr>
        <a:xfrm>
          <a:off x="9315451" y="5988629"/>
          <a:ext cx="1445202" cy="1833996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3</xdr:col>
      <xdr:colOff>4468090</xdr:colOff>
      <xdr:row>23</xdr:row>
      <xdr:rowOff>147204</xdr:rowOff>
    </xdr:from>
    <xdr:to>
      <xdr:col>5</xdr:col>
      <xdr:colOff>883227</xdr:colOff>
      <xdr:row>25</xdr:row>
      <xdr:rowOff>103910</xdr:rowOff>
    </xdr:to>
    <xdr:sp macro="" textlink="">
      <xdr:nvSpPr>
        <xdr:cNvPr id="7" name="Flowchart: Alternate Process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144B2-3183-4E42-B6CF-6474AB7F2DF1}"/>
            </a:ext>
          </a:extLst>
        </xdr:cNvPr>
        <xdr:cNvSpPr/>
      </xdr:nvSpPr>
      <xdr:spPr>
        <a:xfrm>
          <a:off x="8745681" y="4866409"/>
          <a:ext cx="1974273" cy="675410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HRA Exemption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topLeftCell="A15" zoomScale="110" zoomScaleNormal="110" workbookViewId="0">
      <selection activeCell="I1" sqref="I1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14" t="s">
        <v>309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6"/>
    </row>
    <row r="3" spans="1:17" ht="22.5" x14ac:dyDescent="0.2">
      <c r="B3" s="217" t="s">
        <v>95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9"/>
    </row>
    <row r="4" spans="1:17" ht="21" customHeight="1" x14ac:dyDescent="0.2">
      <c r="B4" s="220" t="s">
        <v>127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</row>
    <row r="5" spans="1:17" ht="21" customHeight="1" x14ac:dyDescent="0.2">
      <c r="B5" s="258" t="s">
        <v>150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60"/>
    </row>
    <row r="6" spans="1:17" ht="21" customHeight="1" x14ac:dyDescent="0.2">
      <c r="B6" s="63">
        <v>1</v>
      </c>
      <c r="C6" s="261" t="s">
        <v>97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3"/>
    </row>
    <row r="7" spans="1:17" ht="21" customHeight="1" x14ac:dyDescent="0.2">
      <c r="B7" s="59">
        <v>2</v>
      </c>
      <c r="C7" s="261" t="s">
        <v>157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3"/>
    </row>
    <row r="8" spans="1:17" s="57" customFormat="1" ht="18.75" x14ac:dyDescent="0.3">
      <c r="A8" s="55"/>
      <c r="B8" s="223" t="s">
        <v>96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5"/>
      <c r="Q8" s="56"/>
    </row>
    <row r="9" spans="1:17" s="57" customFormat="1" ht="18.75" x14ac:dyDescent="0.3">
      <c r="A9" s="55"/>
      <c r="B9" s="60">
        <v>1</v>
      </c>
      <c r="C9" s="238" t="s">
        <v>156</v>
      </c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9"/>
      <c r="Q9" s="58"/>
    </row>
    <row r="10" spans="1:17" ht="16.5" x14ac:dyDescent="0.3">
      <c r="A10" s="33"/>
      <c r="B10" s="60">
        <v>2</v>
      </c>
      <c r="C10" s="266" t="s">
        <v>155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7"/>
    </row>
    <row r="11" spans="1:17" ht="16.5" x14ac:dyDescent="0.3">
      <c r="A11" s="33"/>
      <c r="B11" s="60">
        <v>3</v>
      </c>
      <c r="C11" s="232" t="s">
        <v>128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4"/>
    </row>
    <row r="12" spans="1:17" ht="38.25" customHeight="1" x14ac:dyDescent="0.3">
      <c r="A12" s="33"/>
      <c r="B12" s="60">
        <v>4</v>
      </c>
      <c r="C12" s="246" t="s">
        <v>151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</row>
    <row r="13" spans="1:17" ht="18.75" x14ac:dyDescent="0.3">
      <c r="B13" s="61">
        <v>5</v>
      </c>
      <c r="C13" s="240" t="s">
        <v>149</v>
      </c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2"/>
    </row>
    <row r="14" spans="1:17" ht="18.75" customHeight="1" x14ac:dyDescent="0.2">
      <c r="B14" s="254">
        <v>6</v>
      </c>
      <c r="C14" s="249" t="s">
        <v>161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</row>
    <row r="15" spans="1:17" ht="36.75" customHeight="1" x14ac:dyDescent="0.2">
      <c r="B15" s="255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3"/>
    </row>
    <row r="16" spans="1:17" ht="18.75" x14ac:dyDescent="0.3">
      <c r="B16" s="226" t="s">
        <v>98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8"/>
    </row>
    <row r="17" spans="1:16" ht="18.75" x14ac:dyDescent="0.3">
      <c r="A17" s="32"/>
      <c r="B17" s="62"/>
      <c r="C17" s="264" t="s">
        <v>99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5"/>
    </row>
    <row r="18" spans="1:16" ht="18.75" x14ac:dyDescent="0.3">
      <c r="B18" s="226" t="s">
        <v>152</v>
      </c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8.75" customHeight="1" x14ac:dyDescent="0.2">
      <c r="A19" s="32"/>
      <c r="B19" s="62"/>
      <c r="C19" s="256" t="s">
        <v>100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7"/>
    </row>
    <row r="20" spans="1:16" ht="18.75" customHeight="1" x14ac:dyDescent="0.2">
      <c r="A20" s="32"/>
      <c r="B20" s="62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7"/>
    </row>
    <row r="21" spans="1:16" ht="18.75" x14ac:dyDescent="0.2">
      <c r="B21" s="229" t="s">
        <v>101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1"/>
    </row>
    <row r="22" spans="1:16" ht="39" customHeight="1" x14ac:dyDescent="0.2">
      <c r="A22" s="32"/>
      <c r="B22" s="62"/>
      <c r="C22" s="235" t="s">
        <v>162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56.25" customHeight="1" x14ac:dyDescent="0.2">
      <c r="B23" s="243" t="s">
        <v>163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</row>
    <row r="24" spans="1:16" ht="73.5" customHeight="1" thickBot="1" x14ac:dyDescent="0.25">
      <c r="B24" s="211" t="s">
        <v>347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3"/>
    </row>
    <row r="25" spans="1:16" ht="18.75" customHeight="1" x14ac:dyDescent="0.2"/>
  </sheetData>
  <sheetProtection algorithmName="SHA-512" hashValue="obO5pOpwgUfPD+lbp7+6S+SVGc+dB6q5q9qSDaCr6yLCZv7+wVSuR44VVAdPpT0BlIKaNrphjK8x3QfIVUjYEg==" saltValue="uN1in60DGq6Ib9gf0GByWg==" spinCount="100000" sheet="1" objects="1" scenarios="1" selectLockedCells="1"/>
  <mergeCells count="22">
    <mergeCell ref="C19:P20"/>
    <mergeCell ref="B5:P5"/>
    <mergeCell ref="C7:P7"/>
    <mergeCell ref="C6:P6"/>
    <mergeCell ref="C17:P17"/>
    <mergeCell ref="C10:P10"/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7"/>
  <sheetViews>
    <sheetView zoomScale="110" zoomScaleNormal="110" zoomScaleSheetLayoutView="80" workbookViewId="0">
      <selection activeCell="D11" sqref="D11"/>
    </sheetView>
  </sheetViews>
  <sheetFormatPr defaultColWidth="0" defaultRowHeight="15.75" zeroHeight="1" x14ac:dyDescent="0.25"/>
  <cols>
    <col min="1" max="1" width="57.42578125" style="40" bestFit="1" customWidth="1"/>
    <col min="2" max="2" width="39" style="40" customWidth="1"/>
    <col min="3" max="3" width="37" style="41" customWidth="1"/>
    <col min="4" max="4" width="30" style="40" customWidth="1"/>
    <col min="5" max="5" width="11" style="40" customWidth="1"/>
    <col min="6" max="6" width="9.140625" style="52" hidden="1" customWidth="1"/>
    <col min="7" max="7" width="10.5703125" style="40" hidden="1" customWidth="1"/>
    <col min="8" max="16384" width="9.140625" style="40" hidden="1"/>
  </cols>
  <sheetData>
    <row r="1" spans="1:7" ht="28.5" x14ac:dyDescent="0.25">
      <c r="A1" s="270" t="s">
        <v>136</v>
      </c>
      <c r="B1" s="271"/>
      <c r="C1" s="271"/>
      <c r="D1" s="272"/>
      <c r="E1" s="52"/>
      <c r="G1" s="85" t="s">
        <v>172</v>
      </c>
    </row>
    <row r="2" spans="1:7" ht="24" thickBot="1" x14ac:dyDescent="0.3">
      <c r="A2" s="273" t="s">
        <v>137</v>
      </c>
      <c r="B2" s="274"/>
      <c r="C2" s="274"/>
      <c r="D2" s="275"/>
      <c r="E2" s="52"/>
      <c r="G2" s="85" t="s">
        <v>173</v>
      </c>
    </row>
    <row r="3" spans="1:7" ht="18.75" x14ac:dyDescent="0.25">
      <c r="A3" s="179" t="s">
        <v>129</v>
      </c>
      <c r="B3" s="268" t="s">
        <v>346</v>
      </c>
      <c r="C3" s="268"/>
      <c r="D3" s="269"/>
      <c r="E3" s="52"/>
      <c r="G3" s="85" t="s">
        <v>174</v>
      </c>
    </row>
    <row r="4" spans="1:7" ht="18.75" x14ac:dyDescent="0.25">
      <c r="A4" s="180" t="s">
        <v>292</v>
      </c>
      <c r="B4" s="193" t="s">
        <v>145</v>
      </c>
      <c r="C4" s="171" t="s">
        <v>302</v>
      </c>
      <c r="D4" s="175" t="s">
        <v>352</v>
      </c>
      <c r="E4" s="52"/>
      <c r="G4" s="85" t="s">
        <v>175</v>
      </c>
    </row>
    <row r="5" spans="1:7" ht="18.75" x14ac:dyDescent="0.25">
      <c r="A5" s="180" t="s">
        <v>130</v>
      </c>
      <c r="B5" s="193" t="s">
        <v>62</v>
      </c>
      <c r="C5" s="171" t="s">
        <v>303</v>
      </c>
      <c r="D5" s="175" t="s">
        <v>73</v>
      </c>
      <c r="E5" s="52"/>
      <c r="G5" s="85" t="s">
        <v>176</v>
      </c>
    </row>
    <row r="6" spans="1:7" ht="18.75" x14ac:dyDescent="0.25">
      <c r="A6" s="180" t="s">
        <v>153</v>
      </c>
      <c r="B6" s="193" t="s">
        <v>154</v>
      </c>
      <c r="C6" s="171" t="s">
        <v>139</v>
      </c>
      <c r="D6" s="175" t="s">
        <v>138</v>
      </c>
      <c r="E6" s="52"/>
      <c r="G6" s="85" t="s">
        <v>177</v>
      </c>
    </row>
    <row r="7" spans="1:7" ht="18.75" x14ac:dyDescent="0.25">
      <c r="A7" s="180" t="s">
        <v>293</v>
      </c>
      <c r="B7" s="193" t="s">
        <v>147</v>
      </c>
      <c r="C7" s="171" t="s">
        <v>131</v>
      </c>
      <c r="D7" s="172" t="s">
        <v>158</v>
      </c>
      <c r="E7" s="52"/>
      <c r="G7" s="85" t="s">
        <v>178</v>
      </c>
    </row>
    <row r="8" spans="1:7" ht="16.5" x14ac:dyDescent="0.25">
      <c r="A8" s="181" t="s">
        <v>132</v>
      </c>
      <c r="B8" s="193" t="s">
        <v>148</v>
      </c>
      <c r="C8" s="173" t="s">
        <v>313</v>
      </c>
      <c r="D8" s="174" t="s">
        <v>299</v>
      </c>
      <c r="E8" s="52"/>
      <c r="F8" s="84" t="s">
        <v>170</v>
      </c>
      <c r="G8" s="85" t="s">
        <v>179</v>
      </c>
    </row>
    <row r="9" spans="1:7" ht="18.75" x14ac:dyDescent="0.25">
      <c r="A9" s="180" t="s">
        <v>133</v>
      </c>
      <c r="B9" s="169">
        <v>7000</v>
      </c>
      <c r="C9" s="173" t="s">
        <v>314</v>
      </c>
      <c r="D9" s="175" t="s">
        <v>146</v>
      </c>
      <c r="E9" s="52"/>
      <c r="F9" s="84">
        <v>0</v>
      </c>
      <c r="G9" s="85" t="s">
        <v>180</v>
      </c>
    </row>
    <row r="10" spans="1:7" ht="18.75" x14ac:dyDescent="0.25">
      <c r="A10" s="180" t="s">
        <v>310</v>
      </c>
      <c r="B10" s="169">
        <v>65000</v>
      </c>
      <c r="C10" s="173" t="s">
        <v>315</v>
      </c>
      <c r="D10" s="176">
        <v>0.09</v>
      </c>
      <c r="E10" s="52"/>
      <c r="F10" s="84">
        <v>700</v>
      </c>
      <c r="G10" s="85" t="s">
        <v>181</v>
      </c>
    </row>
    <row r="11" spans="1:7" ht="18.75" x14ac:dyDescent="0.3">
      <c r="A11" s="67" t="s">
        <v>164</v>
      </c>
      <c r="B11" s="207" t="s">
        <v>144</v>
      </c>
      <c r="C11" s="177" t="s">
        <v>134</v>
      </c>
      <c r="D11" s="175" t="s">
        <v>344</v>
      </c>
      <c r="E11" s="52"/>
      <c r="F11" s="84">
        <v>1400</v>
      </c>
      <c r="G11" s="85" t="s">
        <v>182</v>
      </c>
    </row>
    <row r="12" spans="1:7" ht="18.75" x14ac:dyDescent="0.3">
      <c r="A12" s="182" t="s">
        <v>311</v>
      </c>
      <c r="B12" s="193" t="s">
        <v>344</v>
      </c>
      <c r="C12" s="171" t="s">
        <v>316</v>
      </c>
      <c r="D12" s="175">
        <v>10</v>
      </c>
      <c r="E12" s="52"/>
      <c r="F12" s="84">
        <v>2100</v>
      </c>
      <c r="G12" s="85" t="s">
        <v>183</v>
      </c>
    </row>
    <row r="13" spans="1:7" ht="18.75" x14ac:dyDescent="0.25">
      <c r="A13" s="198" t="s">
        <v>306</v>
      </c>
      <c r="B13" s="169">
        <v>1712</v>
      </c>
      <c r="C13" s="171" t="s">
        <v>169</v>
      </c>
      <c r="D13" s="178">
        <v>700</v>
      </c>
      <c r="E13" s="52"/>
      <c r="G13" s="85" t="s">
        <v>154</v>
      </c>
    </row>
    <row r="14" spans="1:7" ht="18.75" x14ac:dyDescent="0.25">
      <c r="A14" s="197" t="s">
        <v>312</v>
      </c>
      <c r="B14" s="208" t="s">
        <v>144</v>
      </c>
      <c r="C14" s="171" t="s">
        <v>300</v>
      </c>
      <c r="D14" s="175" t="s">
        <v>344</v>
      </c>
      <c r="E14" s="52"/>
      <c r="G14" s="85"/>
    </row>
    <row r="15" spans="1:7" ht="19.5" thickBot="1" x14ac:dyDescent="0.35">
      <c r="A15" s="183" t="s">
        <v>135</v>
      </c>
      <c r="B15" s="170" t="s">
        <v>144</v>
      </c>
      <c r="C15" s="196" t="s">
        <v>304</v>
      </c>
      <c r="D15" s="175" t="s">
        <v>301</v>
      </c>
      <c r="E15" s="52"/>
      <c r="G15" s="85" t="s">
        <v>317</v>
      </c>
    </row>
    <row r="16" spans="1:7" ht="65.25" customHeight="1" x14ac:dyDescent="0.25">
      <c r="A16" s="276" t="s">
        <v>294</v>
      </c>
      <c r="B16" s="277"/>
      <c r="C16" s="277"/>
      <c r="D16" s="277"/>
      <c r="E16" s="52"/>
      <c r="G16" s="85" t="s">
        <v>184</v>
      </c>
    </row>
    <row r="17" spans="1:7" ht="18.75" hidden="1" x14ac:dyDescent="0.3">
      <c r="A17" s="53"/>
      <c r="B17" s="53"/>
      <c r="C17" s="54"/>
      <c r="D17" s="52"/>
      <c r="E17" s="52"/>
      <c r="G17" s="85" t="s">
        <v>185</v>
      </c>
    </row>
    <row r="18" spans="1:7" ht="18.75" hidden="1" x14ac:dyDescent="0.3">
      <c r="A18" s="53"/>
      <c r="B18" s="52"/>
      <c r="C18" s="54"/>
      <c r="D18" s="52"/>
      <c r="E18" s="52"/>
      <c r="G18" s="85" t="s">
        <v>186</v>
      </c>
    </row>
    <row r="19" spans="1:7" ht="18.75" hidden="1" x14ac:dyDescent="0.3">
      <c r="A19" s="53"/>
      <c r="B19" s="52"/>
      <c r="C19" s="54"/>
      <c r="D19" s="52"/>
      <c r="E19" s="52"/>
      <c r="G19" s="85" t="s">
        <v>187</v>
      </c>
    </row>
    <row r="20" spans="1:7" ht="18.75" hidden="1" x14ac:dyDescent="0.3">
      <c r="A20" s="53"/>
      <c r="B20" s="52"/>
      <c r="C20" s="54"/>
      <c r="D20" s="52"/>
      <c r="E20" s="52"/>
      <c r="G20" s="85" t="s">
        <v>188</v>
      </c>
    </row>
    <row r="21" spans="1:7" ht="18.75" hidden="1" x14ac:dyDescent="0.3">
      <c r="A21" s="53"/>
      <c r="B21" s="52"/>
      <c r="C21" s="54"/>
      <c r="D21" s="52"/>
      <c r="E21" s="52"/>
      <c r="G21" s="85" t="s">
        <v>189</v>
      </c>
    </row>
    <row r="22" spans="1:7" ht="18.75" hidden="1" x14ac:dyDescent="0.3">
      <c r="A22" s="53"/>
      <c r="B22" s="52"/>
      <c r="C22" s="54"/>
      <c r="D22" s="52"/>
      <c r="E22" s="52"/>
      <c r="G22" s="85" t="s">
        <v>190</v>
      </c>
    </row>
    <row r="23" spans="1:7" ht="18.75" hidden="1" x14ac:dyDescent="0.3">
      <c r="A23" s="53"/>
      <c r="B23" s="52"/>
      <c r="C23" s="54"/>
      <c r="D23" s="52"/>
      <c r="E23" s="52"/>
      <c r="G23" s="85" t="s">
        <v>191</v>
      </c>
    </row>
    <row r="24" spans="1:7" ht="18.75" hidden="1" x14ac:dyDescent="0.3">
      <c r="A24" s="53"/>
      <c r="B24" s="52"/>
      <c r="C24" s="54"/>
      <c r="D24" s="52"/>
      <c r="E24" s="52"/>
      <c r="G24" s="85" t="s">
        <v>192</v>
      </c>
    </row>
    <row r="25" spans="1:7" ht="18.75" hidden="1" x14ac:dyDescent="0.3">
      <c r="A25" s="53"/>
      <c r="B25" s="52"/>
      <c r="C25" s="54"/>
      <c r="D25" s="52"/>
      <c r="E25" s="52"/>
      <c r="G25" s="85" t="s">
        <v>193</v>
      </c>
    </row>
    <row r="26" spans="1:7" ht="18.75" hidden="1" x14ac:dyDescent="0.3">
      <c r="A26" s="53"/>
      <c r="B26" s="52"/>
      <c r="C26" s="54"/>
      <c r="D26" s="52"/>
      <c r="E26" s="52"/>
      <c r="G26" s="85" t="s">
        <v>194</v>
      </c>
    </row>
    <row r="27" spans="1:7" ht="18.75" hidden="1" x14ac:dyDescent="0.3">
      <c r="A27" s="53"/>
      <c r="B27" s="52"/>
      <c r="C27" s="54"/>
      <c r="D27" s="52"/>
      <c r="E27" s="52"/>
      <c r="G27" s="85"/>
    </row>
  </sheetData>
  <sheetProtection algorithmName="SHA-512" hashValue="GC91/ObTwRVSJE/iIf/R+4M/0F9zxaerPKm4Ok4K/SeQAs+WDcQnIVC/zWcThCYMDrc0QPCow8TycJVJYdFTKw==" saltValue="AzNiZAZqnqg3wRvM7kZRvQ==" spinCount="100000" sheet="1" selectLockedCells="1"/>
  <dataConsolidate/>
  <mergeCells count="4">
    <mergeCell ref="B3:D3"/>
    <mergeCell ref="A1:D1"/>
    <mergeCell ref="A2:D2"/>
    <mergeCell ref="A16:D16"/>
  </mergeCells>
  <phoneticPr fontId="85" type="noConversion"/>
  <dataValidations count="7">
    <dataValidation type="list" allowBlank="1" showInputMessage="1" showErrorMessage="1" sqref="D11 D14 B11:B12 B14:B15" xr:uid="{00000000-0002-0000-0100-000000000000}">
      <formula1>"YES,NO"</formula1>
    </dataValidation>
    <dataValidation type="list" allowBlank="1" showInputMessage="1" showErrorMessage="1" sqref="D10" xr:uid="{00000000-0002-0000-0100-000001000000}">
      <formula1>"NA,9%,18%"</formula1>
    </dataValidation>
    <dataValidation type="list" allowBlank="1" showInputMessage="1" showErrorMessage="1" sqref="D6" xr:uid="{00000000-0002-0000-0100-000002000000}">
      <formula1>"State Service, Subordinate,Ministerial,Class IV"</formula1>
    </dataValidation>
    <dataValidation type="list" allowBlank="1" showInputMessage="1" showErrorMessage="1" sqref="D12" xr:uid="{00000000-0002-0000-0100-000003000000}">
      <formula1>"NA,4,5,6,7,8,9,10,11,12,1,2,3,"</formula1>
    </dataValidation>
    <dataValidation type="list" allowBlank="1" showInputMessage="1" showErrorMessage="1" sqref="B6" xr:uid="{00000000-0002-0000-0100-000004000000}">
      <formula1>$G$1:$G$26</formula1>
    </dataValidation>
    <dataValidation type="list" allowBlank="1" showInputMessage="1" showErrorMessage="1" sqref="D13:D14" xr:uid="{00000000-0002-0000-0100-000005000000}">
      <formula1>$F$9:$F$13</formula1>
    </dataValidation>
    <dataValidation type="list" allowBlank="1" showInputMessage="1" showErrorMessage="1" sqref="D15" xr:uid="{00000000-0002-0000-0100-000006000000}">
      <formula1>"NA,320,620,1000"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AH35"/>
  <sheetViews>
    <sheetView showGridLines="0" zoomScaleNormal="100" zoomScaleSheetLayoutView="80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M7" sqref="M7"/>
    </sheetView>
  </sheetViews>
  <sheetFormatPr defaultColWidth="0" defaultRowHeight="12.75" zeroHeight="1" x14ac:dyDescent="0.2"/>
  <cols>
    <col min="1" max="1" width="0.42578125" style="21" customWidth="1"/>
    <col min="2" max="2" width="0.42578125" style="3" hidden="1" customWidth="1"/>
    <col min="3" max="3" width="13.28515625" style="3" customWidth="1"/>
    <col min="4" max="4" width="9.5703125" style="3" customWidth="1"/>
    <col min="5" max="7" width="5" style="3" customWidth="1"/>
    <col min="8" max="8" width="7.85546875" style="3" customWidth="1"/>
    <col min="9" max="9" width="7.5703125" style="3" customWidth="1"/>
    <col min="10" max="10" width="5" style="3" customWidth="1"/>
    <col min="11" max="11" width="6" style="3" customWidth="1"/>
    <col min="12" max="12" width="7.28515625" style="3" customWidth="1"/>
    <col min="13" max="13" width="6" style="3" customWidth="1"/>
    <col min="14" max="14" width="9.140625" style="3" customWidth="1"/>
    <col min="15" max="15" width="8.28515625" style="3" customWidth="1"/>
    <col min="16" max="16" width="6.42578125" style="3" customWidth="1"/>
    <col min="17" max="17" width="6.5703125" style="3" customWidth="1"/>
    <col min="18" max="18" width="7.5703125" style="3" customWidth="1"/>
    <col min="19" max="19" width="6" style="3" customWidth="1"/>
    <col min="20" max="20" width="6.85546875" style="3" customWidth="1"/>
    <col min="21" max="21" width="6.42578125" style="3" customWidth="1"/>
    <col min="22" max="22" width="7.42578125" style="3" bestFit="1" customWidth="1"/>
    <col min="23" max="23" width="5.5703125" style="3" bestFit="1" customWidth="1"/>
    <col min="24" max="24" width="7.28515625" style="3" bestFit="1" customWidth="1"/>
    <col min="25" max="25" width="7.85546875" style="3" customWidth="1"/>
    <col min="26" max="26" width="6.28515625" style="3" customWidth="1"/>
    <col min="27" max="27" width="9.28515625" style="3" customWidth="1"/>
    <col min="28" max="28" width="10.5703125" style="3" customWidth="1"/>
    <col min="29" max="29" width="18.5703125" style="3" customWidth="1"/>
    <col min="30" max="30" width="0.42578125" style="21" customWidth="1"/>
    <col min="31" max="31" width="9.140625" style="3" customWidth="1"/>
    <col min="32" max="16384" width="9.140625" style="3" hidden="1"/>
  </cols>
  <sheetData>
    <row r="1" spans="1:30" ht="2.25" customHeight="1" x14ac:dyDescent="0.35">
      <c r="C1" s="14"/>
      <c r="D1" s="15"/>
      <c r="E1" s="15"/>
      <c r="F1" s="15"/>
      <c r="G1" s="15"/>
      <c r="H1" s="15"/>
      <c r="I1" s="15"/>
      <c r="J1" s="15"/>
      <c r="K1" s="15"/>
      <c r="L1" s="16"/>
      <c r="M1" s="16"/>
      <c r="N1" s="17"/>
      <c r="O1" s="17"/>
      <c r="P1" s="17"/>
      <c r="Q1" s="17"/>
      <c r="R1" s="17"/>
      <c r="S1" s="17"/>
      <c r="T1" s="18"/>
      <c r="U1" s="15"/>
      <c r="V1" s="19"/>
      <c r="W1" s="19"/>
      <c r="X1" s="19"/>
      <c r="Y1" s="19"/>
      <c r="Z1" s="19"/>
      <c r="AA1" s="20"/>
      <c r="AB1" s="21"/>
      <c r="AC1" s="21"/>
    </row>
    <row r="2" spans="1:30" ht="27" x14ac:dyDescent="0.2">
      <c r="C2" s="282" t="str">
        <f>IF(Master!B3="","",CONCATENATE("Office of the"," ",Master!B3))</f>
        <v>Office of the Principal, Govt. Sr. Secondary School Todaraisingh (Kekri)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</row>
    <row r="3" spans="1:30" ht="23.25" x14ac:dyDescent="0.2">
      <c r="C3" s="283" t="s">
        <v>318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</row>
    <row r="4" spans="1:30" ht="3.75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30" s="95" customFormat="1" ht="21" customHeight="1" x14ac:dyDescent="0.2">
      <c r="A5" s="94"/>
      <c r="C5" s="168" t="s">
        <v>25</v>
      </c>
      <c r="D5" s="281" t="str">
        <f>IF(Master!B5="","",Master!B5)</f>
        <v>Chandra Prakash Kurmi</v>
      </c>
      <c r="E5" s="281"/>
      <c r="F5" s="281"/>
      <c r="G5" s="281"/>
      <c r="H5" s="281"/>
      <c r="I5" s="281"/>
      <c r="J5" s="281"/>
      <c r="K5" s="279" t="s">
        <v>24</v>
      </c>
      <c r="L5" s="279"/>
      <c r="M5" s="281" t="str">
        <f>IF(Master!B7="","",Master!B7)</f>
        <v>AAAAAXXXXA</v>
      </c>
      <c r="N5" s="281"/>
      <c r="O5" s="281"/>
      <c r="P5" s="186"/>
      <c r="Q5" s="186"/>
      <c r="R5" s="279" t="s">
        <v>91</v>
      </c>
      <c r="S5" s="279"/>
      <c r="T5" s="281" t="str">
        <f>IF(Master!B4="","",Master!B4)</f>
        <v>AAAAXXXXXA</v>
      </c>
      <c r="U5" s="281"/>
      <c r="V5" s="281"/>
      <c r="Y5" s="100"/>
      <c r="Z5" s="279" t="s">
        <v>69</v>
      </c>
      <c r="AA5" s="279"/>
      <c r="AB5" s="284" t="str">
        <f>IF(Master!D7="","",Master!D7)</f>
        <v>9XXXXXXXXXXXXX9</v>
      </c>
      <c r="AC5" s="284"/>
      <c r="AD5" s="94"/>
    </row>
    <row r="6" spans="1:30" s="95" customFormat="1" ht="21" customHeight="1" thickBot="1" x14ac:dyDescent="0.25">
      <c r="A6" s="94"/>
      <c r="C6" s="96" t="s">
        <v>296</v>
      </c>
      <c r="D6" s="278" t="str">
        <f>IF(Master!D5="","",CONCATENATE(Master!D5," ","(",Master!B6,")"))</f>
        <v>Lecturer (L-13)</v>
      </c>
      <c r="E6" s="278"/>
      <c r="F6" s="278"/>
      <c r="G6" s="278"/>
      <c r="H6" s="278"/>
      <c r="I6" s="278"/>
      <c r="J6" s="278"/>
      <c r="K6" s="280" t="s">
        <v>297</v>
      </c>
      <c r="L6" s="280"/>
      <c r="M6" s="278" t="str">
        <f>IF(Master!B8="","",Master!B8)</f>
        <v>74XXX7</v>
      </c>
      <c r="N6" s="278"/>
      <c r="O6" s="186"/>
      <c r="P6" s="186"/>
      <c r="R6" s="286" t="str">
        <f>Master!C8</f>
        <v>GPF No :</v>
      </c>
      <c r="S6" s="286"/>
      <c r="T6" s="287" t="str">
        <f>IF(Master!D8="","",Master!D8)</f>
        <v>8XXXXX8</v>
      </c>
      <c r="U6" s="287"/>
      <c r="V6" s="287"/>
      <c r="W6" s="287"/>
      <c r="X6" s="97"/>
      <c r="Y6" s="97"/>
      <c r="Z6" s="279" t="s">
        <v>105</v>
      </c>
      <c r="AA6" s="279"/>
      <c r="AB6" s="284" t="str">
        <f>IF(Master!D9="","",Master!D9)</f>
        <v>9XXXXXXXX1</v>
      </c>
      <c r="AC6" s="284"/>
      <c r="AD6" s="94"/>
    </row>
    <row r="7" spans="1:30" s="43" customFormat="1" ht="114.75" customHeight="1" x14ac:dyDescent="0.2">
      <c r="A7" s="42"/>
      <c r="C7" s="160" t="s">
        <v>12</v>
      </c>
      <c r="D7" s="161" t="s">
        <v>2</v>
      </c>
      <c r="E7" s="162" t="s">
        <v>3</v>
      </c>
      <c r="F7" s="162" t="s">
        <v>63</v>
      </c>
      <c r="G7" s="162" t="s">
        <v>21</v>
      </c>
      <c r="H7" s="161" t="s">
        <v>22</v>
      </c>
      <c r="I7" s="161" t="s">
        <v>93</v>
      </c>
      <c r="J7" s="162" t="s">
        <v>67</v>
      </c>
      <c r="K7" s="162" t="s">
        <v>89</v>
      </c>
      <c r="L7" s="156" t="str">
        <f>IF(AND(Master!$B$14="YES",Master!$B$11="Yes"),"Other Allowance","Other Allowance 1")</f>
        <v>Other Allowance 1</v>
      </c>
      <c r="M7" s="156" t="str">
        <f>IF(Master!D15="NA","Other Allowance 2","CCA")</f>
        <v>Other Allowance 2</v>
      </c>
      <c r="N7" s="161" t="s">
        <v>65</v>
      </c>
      <c r="O7" s="161" t="str">
        <f>IF(Master!B11="No","GPF","GPF 2004")</f>
        <v>GPF</v>
      </c>
      <c r="P7" s="161" t="str">
        <f>IF(Master!B11="No","GPF LOAN","GPF 2004 LOAN")</f>
        <v>GPF LOAN</v>
      </c>
      <c r="Q7" s="161" t="s">
        <v>13</v>
      </c>
      <c r="R7" s="161" t="s">
        <v>1</v>
      </c>
      <c r="S7" s="161" t="s">
        <v>305</v>
      </c>
      <c r="T7" s="161" t="s">
        <v>6</v>
      </c>
      <c r="U7" s="161" t="s">
        <v>88</v>
      </c>
      <c r="V7" s="161" t="s">
        <v>61</v>
      </c>
      <c r="W7" s="162" t="s">
        <v>338</v>
      </c>
      <c r="X7" s="162" t="s">
        <v>140</v>
      </c>
      <c r="Y7" s="156" t="str">
        <f>IF(AND(Master!$B$14="YES",Master!$B$11="Yes"),"Other Deduction","Other Deduction1" )</f>
        <v>Other Deduction1</v>
      </c>
      <c r="Z7" s="156" t="s">
        <v>308</v>
      </c>
      <c r="AA7" s="161" t="s">
        <v>64</v>
      </c>
      <c r="AB7" s="161" t="s">
        <v>90</v>
      </c>
      <c r="AC7" s="163" t="s">
        <v>66</v>
      </c>
      <c r="AD7" s="42"/>
    </row>
    <row r="8" spans="1:30" s="9" customFormat="1" ht="18" customHeight="1" x14ac:dyDescent="0.2">
      <c r="A8" s="22"/>
      <c r="B8" s="9">
        <v>3</v>
      </c>
      <c r="C8" s="165">
        <v>44986</v>
      </c>
      <c r="D8" s="157">
        <f>Master!B10</f>
        <v>65000</v>
      </c>
      <c r="E8" s="166">
        <v>0</v>
      </c>
      <c r="F8" s="166">
        <v>0</v>
      </c>
      <c r="G8" s="166">
        <v>0</v>
      </c>
      <c r="H8" s="166">
        <f>ROUND(38%*D8,0)</f>
        <v>24700</v>
      </c>
      <c r="I8" s="166">
        <f>IF(Master!$D$10="NA",0,IF(Master!$D$10=9%,ROUND(0.09*D8,0),ROUND(0.18*D8,0)))</f>
        <v>5850</v>
      </c>
      <c r="J8" s="166">
        <v>0</v>
      </c>
      <c r="K8" s="166">
        <v>0</v>
      </c>
      <c r="L8" s="166"/>
      <c r="M8" s="166" t="str">
        <f>IF(Master!D15="NA","",Master!D15)</f>
        <v/>
      </c>
      <c r="N8" s="92">
        <f>SUM(D8:M8)</f>
        <v>95550</v>
      </c>
      <c r="O8" s="166">
        <f>IF(D8&lt;23101,1450,IF(D8&lt;28501,1625,IF(D8&lt;38501,2100,IF(D8&lt;51501,2850,IF(D8&lt;62001,3575,IF(D8&lt;72001,4200,IF(D8&lt;80001,4800,IF(D8&lt;116001,6150,IF(D8&lt;167001,8900,10500)))))))))</f>
        <v>4200</v>
      </c>
      <c r="P8" s="166">
        <v>0</v>
      </c>
      <c r="Q8" s="166">
        <f>Master!$B$9</f>
        <v>7000</v>
      </c>
      <c r="R8" s="166">
        <v>0</v>
      </c>
      <c r="S8" s="166">
        <f t="shared" ref="S8:S19" si="0">IF(D8&lt;18001,265,IF(D8&lt;33501,440,IF(D8&lt;54001,658,875)))</f>
        <v>875</v>
      </c>
      <c r="T8" s="166">
        <f>Master!$B$13</f>
        <v>1712</v>
      </c>
      <c r="U8" s="166">
        <v>0</v>
      </c>
      <c r="V8" s="166">
        <v>8000</v>
      </c>
      <c r="W8" s="166"/>
      <c r="X8" s="166"/>
      <c r="Y8" s="166" t="str">
        <f>IF(AND(Master!$B$14="YES",Master!$B$11="Yes"),L8,"")</f>
        <v/>
      </c>
      <c r="Z8" s="167"/>
      <c r="AA8" s="159">
        <f t="shared" ref="AA8" si="1">SUM(O8:Z8)</f>
        <v>21787</v>
      </c>
      <c r="AB8" s="93">
        <f t="shared" ref="AB8" si="2">N8-AA8</f>
        <v>73763</v>
      </c>
      <c r="AC8" s="66"/>
      <c r="AD8" s="22"/>
    </row>
    <row r="9" spans="1:30" s="9" customFormat="1" ht="18" customHeight="1" x14ac:dyDescent="0.2">
      <c r="A9" s="22"/>
      <c r="B9" s="9">
        <v>4</v>
      </c>
      <c r="C9" s="165">
        <v>45017</v>
      </c>
      <c r="D9" s="157">
        <f t="shared" ref="D9:D11" si="3">D8</f>
        <v>65000</v>
      </c>
      <c r="E9" s="166">
        <f>IF(E$8=0,0,ROUND(D9/2,0))</f>
        <v>0</v>
      </c>
      <c r="F9" s="166">
        <f t="shared" ref="F9:G14" si="4">IF(F$8=0,0,F8)</f>
        <v>0</v>
      </c>
      <c r="G9" s="166">
        <f t="shared" si="4"/>
        <v>0</v>
      </c>
      <c r="H9" s="166">
        <f>ROUND(42%*D9,0)</f>
        <v>27300</v>
      </c>
      <c r="I9" s="166">
        <f>IF(Master!$D$10="NA",0,IF(Master!$D$10=9%,ROUND(0.09*D9,0),ROUND(0.18*D9,0)))</f>
        <v>5850</v>
      </c>
      <c r="J9" s="166">
        <f t="shared" ref="J9:J19" si="5">IF(J$8=0,0,J8)</f>
        <v>0</v>
      </c>
      <c r="K9" s="166">
        <f t="shared" ref="K9:K19" si="6">IF(K$8=0,0,K8)</f>
        <v>0</v>
      </c>
      <c r="L9" s="166"/>
      <c r="M9" s="166" t="str">
        <f t="shared" ref="M9:M19" si="7">IF(M$8=0,0,M8)</f>
        <v/>
      </c>
      <c r="N9" s="92">
        <f t="shared" ref="N9:N27" si="8">SUM(D9:M9)</f>
        <v>98150</v>
      </c>
      <c r="O9" s="166">
        <f t="shared" ref="O9:O19" si="9">IF(D9&lt;23101,1450,IF(D9&lt;28501,1625,IF(D9&lt;38501,2100,IF(D9&lt;51501,2850,IF(D9&lt;62001,3575,IF(D9&lt;72001,4200,IF(D9&lt;80001,4800,IF(D9&lt;116001,6150,IF(D9&lt;167001,8900,10500)))))))))</f>
        <v>4200</v>
      </c>
      <c r="P9" s="166">
        <f>P8</f>
        <v>0</v>
      </c>
      <c r="Q9" s="166">
        <f>Master!$B$9</f>
        <v>7000</v>
      </c>
      <c r="R9" s="166">
        <f t="shared" ref="R9:R19" si="10">IF(R$8=0,0,R8)</f>
        <v>0</v>
      </c>
      <c r="S9" s="166">
        <f t="shared" si="0"/>
        <v>875</v>
      </c>
      <c r="T9" s="166">
        <f>T8</f>
        <v>1712</v>
      </c>
      <c r="U9" s="166">
        <f>Master!D13</f>
        <v>700</v>
      </c>
      <c r="V9" s="166">
        <f>V8</f>
        <v>8000</v>
      </c>
      <c r="W9" s="166"/>
      <c r="X9" s="166"/>
      <c r="Y9" s="166" t="str">
        <f>IF(AND(Master!$B$14="YES",Master!$B$11="Yes"),L9,"")</f>
        <v/>
      </c>
      <c r="Z9" s="166">
        <f t="shared" ref="Z9:Z19" si="11">Z8</f>
        <v>0</v>
      </c>
      <c r="AA9" s="159">
        <f t="shared" ref="AA9:AA27" si="12">SUM(O9:Z9)</f>
        <v>22487</v>
      </c>
      <c r="AB9" s="93">
        <f t="shared" ref="AB9:AB27" si="13">N9-AA9</f>
        <v>75663</v>
      </c>
      <c r="AC9" s="66"/>
      <c r="AD9" s="22"/>
    </row>
    <row r="10" spans="1:30" s="9" customFormat="1" ht="18" customHeight="1" x14ac:dyDescent="0.2">
      <c r="A10" s="22"/>
      <c r="B10" s="9">
        <v>5</v>
      </c>
      <c r="C10" s="165">
        <v>45047</v>
      </c>
      <c r="D10" s="157">
        <f t="shared" si="3"/>
        <v>65000</v>
      </c>
      <c r="E10" s="166">
        <f t="shared" ref="E10:E19" si="14">IF($E$8=0,0,ROUND(D10/2,0))</f>
        <v>0</v>
      </c>
      <c r="F10" s="166">
        <f t="shared" si="4"/>
        <v>0</v>
      </c>
      <c r="G10" s="166">
        <f t="shared" si="4"/>
        <v>0</v>
      </c>
      <c r="H10" s="166">
        <f t="shared" ref="H10:H15" si="15">ROUND(42%*D10,0)</f>
        <v>27300</v>
      </c>
      <c r="I10" s="166">
        <f>IF(Master!$D$10="NA",0,IF(Master!$D$10=9%,ROUND(0.09*D10,0),ROUND(0.18*D10,0)))</f>
        <v>5850</v>
      </c>
      <c r="J10" s="166">
        <f t="shared" si="5"/>
        <v>0</v>
      </c>
      <c r="K10" s="166">
        <f t="shared" ref="K10" si="16">IF(K$8=0,0,K9)</f>
        <v>0</v>
      </c>
      <c r="L10" s="166"/>
      <c r="M10" s="166" t="str">
        <f t="shared" si="7"/>
        <v/>
      </c>
      <c r="N10" s="92">
        <f t="shared" si="8"/>
        <v>98150</v>
      </c>
      <c r="O10" s="166">
        <f t="shared" si="9"/>
        <v>4200</v>
      </c>
      <c r="P10" s="166">
        <f t="shared" ref="P10:P19" si="17">P9</f>
        <v>0</v>
      </c>
      <c r="Q10" s="166">
        <f t="shared" ref="Q10:Q19" si="18">Q9</f>
        <v>7000</v>
      </c>
      <c r="R10" s="166">
        <f t="shared" si="10"/>
        <v>0</v>
      </c>
      <c r="S10" s="166">
        <f t="shared" si="0"/>
        <v>875</v>
      </c>
      <c r="T10" s="166">
        <f t="shared" ref="T10:T19" si="19">T9</f>
        <v>1712</v>
      </c>
      <c r="U10" s="166">
        <v>0</v>
      </c>
      <c r="V10" s="166">
        <f t="shared" ref="V10:V19" si="20">V9</f>
        <v>8000</v>
      </c>
      <c r="W10" s="166"/>
      <c r="X10" s="166"/>
      <c r="Y10" s="166" t="str">
        <f>IF(AND(Master!$B$14="YES",Master!$B$11="Yes"),L10,"")</f>
        <v/>
      </c>
      <c r="Z10" s="166">
        <f t="shared" si="11"/>
        <v>0</v>
      </c>
      <c r="AA10" s="159">
        <f t="shared" si="12"/>
        <v>21787</v>
      </c>
      <c r="AB10" s="93">
        <f t="shared" si="13"/>
        <v>76363</v>
      </c>
      <c r="AC10" s="66"/>
      <c r="AD10" s="22"/>
    </row>
    <row r="11" spans="1:30" s="9" customFormat="1" ht="18" customHeight="1" x14ac:dyDescent="0.2">
      <c r="A11" s="22"/>
      <c r="B11" s="9">
        <v>6</v>
      </c>
      <c r="C11" s="165">
        <v>45078</v>
      </c>
      <c r="D11" s="157">
        <f t="shared" si="3"/>
        <v>65000</v>
      </c>
      <c r="E11" s="166">
        <f t="shared" si="14"/>
        <v>0</v>
      </c>
      <c r="F11" s="166">
        <f t="shared" si="4"/>
        <v>0</v>
      </c>
      <c r="G11" s="166">
        <f t="shared" si="4"/>
        <v>0</v>
      </c>
      <c r="H11" s="166">
        <f t="shared" si="15"/>
        <v>27300</v>
      </c>
      <c r="I11" s="166">
        <f>IF(Master!$D$10="NA",0,IF(Master!$D$10=9%,ROUND(0.09*D11,0),ROUND(0.18*D11,0)))</f>
        <v>5850</v>
      </c>
      <c r="J11" s="166">
        <f t="shared" si="5"/>
        <v>0</v>
      </c>
      <c r="K11" s="166">
        <f t="shared" si="6"/>
        <v>0</v>
      </c>
      <c r="L11" s="166"/>
      <c r="M11" s="166" t="str">
        <f t="shared" si="7"/>
        <v/>
      </c>
      <c r="N11" s="92">
        <f t="shared" si="8"/>
        <v>98150</v>
      </c>
      <c r="O11" s="166">
        <f t="shared" si="9"/>
        <v>4200</v>
      </c>
      <c r="P11" s="166">
        <f t="shared" si="17"/>
        <v>0</v>
      </c>
      <c r="Q11" s="166">
        <f t="shared" si="18"/>
        <v>7000</v>
      </c>
      <c r="R11" s="166">
        <f t="shared" si="10"/>
        <v>0</v>
      </c>
      <c r="S11" s="166">
        <f t="shared" si="0"/>
        <v>875</v>
      </c>
      <c r="T11" s="166">
        <f t="shared" si="19"/>
        <v>1712</v>
      </c>
      <c r="U11" s="166">
        <v>0</v>
      </c>
      <c r="V11" s="166">
        <f t="shared" si="20"/>
        <v>8000</v>
      </c>
      <c r="W11" s="166"/>
      <c r="X11" s="166"/>
      <c r="Y11" s="166" t="str">
        <f>IF(AND(Master!$B$14="YES",Master!$B$11="Yes"),L11,"")</f>
        <v/>
      </c>
      <c r="Z11" s="166">
        <f t="shared" si="11"/>
        <v>0</v>
      </c>
      <c r="AA11" s="159">
        <f t="shared" si="12"/>
        <v>21787</v>
      </c>
      <c r="AB11" s="93">
        <f t="shared" si="13"/>
        <v>76363</v>
      </c>
      <c r="AC11" s="66"/>
      <c r="AD11" s="22"/>
    </row>
    <row r="12" spans="1:30" s="9" customFormat="1" ht="18" customHeight="1" x14ac:dyDescent="0.2">
      <c r="A12" s="22"/>
      <c r="B12" s="9">
        <v>7</v>
      </c>
      <c r="C12" s="165">
        <v>45108</v>
      </c>
      <c r="D12" s="157">
        <f>MROUND(ROUND(1.03*D11,0),100)</f>
        <v>67000</v>
      </c>
      <c r="E12" s="166">
        <f t="shared" si="14"/>
        <v>0</v>
      </c>
      <c r="F12" s="166">
        <f>IF(F$8=0,0,F11)</f>
        <v>0</v>
      </c>
      <c r="G12" s="166">
        <f>IF(G$8=0,0,G11)</f>
        <v>0</v>
      </c>
      <c r="H12" s="166">
        <f t="shared" si="15"/>
        <v>28140</v>
      </c>
      <c r="I12" s="166">
        <f>IF(Master!$D$10="NA",0,IF(Master!$D$10=9%,ROUND(0.09*D12,0),ROUND(0.18*D12,0)))</f>
        <v>6030</v>
      </c>
      <c r="J12" s="166">
        <f>IF(J$8=0,0,J11)</f>
        <v>0</v>
      </c>
      <c r="K12" s="166">
        <f t="shared" ref="K12" si="21">IF(K$8=0,0,K11)</f>
        <v>0</v>
      </c>
      <c r="L12" s="166"/>
      <c r="M12" s="166" t="str">
        <f>IF(M$8=0,0,M11)</f>
        <v/>
      </c>
      <c r="N12" s="92">
        <f t="shared" si="8"/>
        <v>101170</v>
      </c>
      <c r="O12" s="166">
        <f t="shared" si="9"/>
        <v>4200</v>
      </c>
      <c r="P12" s="166">
        <f>P11</f>
        <v>0</v>
      </c>
      <c r="Q12" s="166">
        <f>Q11</f>
        <v>7000</v>
      </c>
      <c r="R12" s="166">
        <f t="shared" si="10"/>
        <v>0</v>
      </c>
      <c r="S12" s="166">
        <f t="shared" si="0"/>
        <v>875</v>
      </c>
      <c r="T12" s="166">
        <f>T11</f>
        <v>1712</v>
      </c>
      <c r="U12" s="166">
        <v>0</v>
      </c>
      <c r="V12" s="166">
        <f t="shared" si="20"/>
        <v>8000</v>
      </c>
      <c r="W12" s="166"/>
      <c r="X12" s="166"/>
      <c r="Y12" s="166" t="str">
        <f>IF(AND(Master!$B$14="YES",Master!$B$11="Yes"),L12,"")</f>
        <v/>
      </c>
      <c r="Z12" s="166">
        <f t="shared" si="11"/>
        <v>0</v>
      </c>
      <c r="AA12" s="159">
        <f t="shared" si="12"/>
        <v>21787</v>
      </c>
      <c r="AB12" s="93">
        <f t="shared" si="13"/>
        <v>79383</v>
      </c>
      <c r="AC12" s="66"/>
      <c r="AD12" s="22"/>
    </row>
    <row r="13" spans="1:30" s="9" customFormat="1" ht="18" customHeight="1" x14ac:dyDescent="0.2">
      <c r="A13" s="22"/>
      <c r="B13" s="9">
        <v>8</v>
      </c>
      <c r="C13" s="165">
        <v>45139</v>
      </c>
      <c r="D13" s="157">
        <f t="shared" ref="D13:D19" si="22">D12</f>
        <v>67000</v>
      </c>
      <c r="E13" s="166">
        <f t="shared" si="14"/>
        <v>0</v>
      </c>
      <c r="F13" s="166">
        <f t="shared" si="4"/>
        <v>0</v>
      </c>
      <c r="G13" s="166">
        <f t="shared" si="4"/>
        <v>0</v>
      </c>
      <c r="H13" s="166">
        <f t="shared" si="15"/>
        <v>28140</v>
      </c>
      <c r="I13" s="166">
        <f>IF(Master!$D$10="NA",0,IF(Master!$D$10=9%,ROUND(0.09*D13,0),ROUND(0.18*D13,0)))</f>
        <v>6030</v>
      </c>
      <c r="J13" s="166">
        <f t="shared" si="5"/>
        <v>0</v>
      </c>
      <c r="K13" s="166">
        <f t="shared" si="6"/>
        <v>0</v>
      </c>
      <c r="L13" s="166"/>
      <c r="M13" s="166" t="str">
        <f t="shared" si="7"/>
        <v/>
      </c>
      <c r="N13" s="92">
        <f t="shared" si="8"/>
        <v>101170</v>
      </c>
      <c r="O13" s="166">
        <f t="shared" si="9"/>
        <v>4200</v>
      </c>
      <c r="P13" s="166">
        <f t="shared" si="17"/>
        <v>0</v>
      </c>
      <c r="Q13" s="166">
        <f t="shared" si="18"/>
        <v>7000</v>
      </c>
      <c r="R13" s="166">
        <f t="shared" si="10"/>
        <v>0</v>
      </c>
      <c r="S13" s="166">
        <f t="shared" si="0"/>
        <v>875</v>
      </c>
      <c r="T13" s="166">
        <f t="shared" si="19"/>
        <v>1712</v>
      </c>
      <c r="U13" s="166">
        <v>0</v>
      </c>
      <c r="V13" s="166">
        <f t="shared" si="20"/>
        <v>8000</v>
      </c>
      <c r="W13" s="166"/>
      <c r="X13" s="166"/>
      <c r="Y13" s="166" t="str">
        <f>IF(AND(Master!$B$14="YES",Master!$B$11="Yes"),L13,"")</f>
        <v/>
      </c>
      <c r="Z13" s="166">
        <f t="shared" si="11"/>
        <v>0</v>
      </c>
      <c r="AA13" s="159">
        <f t="shared" si="12"/>
        <v>21787</v>
      </c>
      <c r="AB13" s="93">
        <f t="shared" si="13"/>
        <v>79383</v>
      </c>
      <c r="AC13" s="66"/>
      <c r="AD13" s="22"/>
    </row>
    <row r="14" spans="1:30" s="9" customFormat="1" ht="18" customHeight="1" x14ac:dyDescent="0.2">
      <c r="A14" s="22"/>
      <c r="B14" s="9">
        <v>9</v>
      </c>
      <c r="C14" s="165">
        <v>45170</v>
      </c>
      <c r="D14" s="157">
        <f t="shared" si="22"/>
        <v>67000</v>
      </c>
      <c r="E14" s="166">
        <f t="shared" si="14"/>
        <v>0</v>
      </c>
      <c r="F14" s="166">
        <f t="shared" si="4"/>
        <v>0</v>
      </c>
      <c r="G14" s="166">
        <f t="shared" si="4"/>
        <v>0</v>
      </c>
      <c r="H14" s="166">
        <f t="shared" si="15"/>
        <v>28140</v>
      </c>
      <c r="I14" s="166">
        <f>IF(Master!$D$10="NA",0,IF(Master!$D$10=9%,ROUND(0.09*D14,0),ROUND(0.18*D14,0)))</f>
        <v>6030</v>
      </c>
      <c r="J14" s="166">
        <f t="shared" si="5"/>
        <v>0</v>
      </c>
      <c r="K14" s="166">
        <f t="shared" si="6"/>
        <v>0</v>
      </c>
      <c r="L14" s="166"/>
      <c r="M14" s="166" t="str">
        <f t="shared" si="7"/>
        <v/>
      </c>
      <c r="N14" s="92">
        <f t="shared" si="8"/>
        <v>101170</v>
      </c>
      <c r="O14" s="166">
        <f t="shared" si="9"/>
        <v>4200</v>
      </c>
      <c r="P14" s="166">
        <f t="shared" si="17"/>
        <v>0</v>
      </c>
      <c r="Q14" s="166">
        <f t="shared" si="18"/>
        <v>7000</v>
      </c>
      <c r="R14" s="166">
        <f t="shared" si="10"/>
        <v>0</v>
      </c>
      <c r="S14" s="166">
        <f t="shared" si="0"/>
        <v>875</v>
      </c>
      <c r="T14" s="166">
        <f t="shared" si="19"/>
        <v>1712</v>
      </c>
      <c r="U14" s="166">
        <v>0</v>
      </c>
      <c r="V14" s="166">
        <f t="shared" si="20"/>
        <v>8000</v>
      </c>
      <c r="W14" s="166"/>
      <c r="X14" s="166"/>
      <c r="Y14" s="166" t="str">
        <f>IF(AND(Master!$B$14="YES",Master!$B$11="Yes"),L14,"")</f>
        <v/>
      </c>
      <c r="Z14" s="166">
        <f t="shared" si="11"/>
        <v>0</v>
      </c>
      <c r="AA14" s="159">
        <f t="shared" si="12"/>
        <v>21787</v>
      </c>
      <c r="AB14" s="93">
        <f t="shared" si="13"/>
        <v>79383</v>
      </c>
      <c r="AC14" s="66"/>
      <c r="AD14" s="22"/>
    </row>
    <row r="15" spans="1:30" s="9" customFormat="1" ht="18" customHeight="1" x14ac:dyDescent="0.2">
      <c r="A15" s="22"/>
      <c r="B15" s="9">
        <v>10</v>
      </c>
      <c r="C15" s="165">
        <v>45200</v>
      </c>
      <c r="D15" s="157">
        <f t="shared" si="22"/>
        <v>67000</v>
      </c>
      <c r="E15" s="166">
        <f t="shared" si="14"/>
        <v>0</v>
      </c>
      <c r="F15" s="166">
        <f>IF(F$8=0,0,F14)</f>
        <v>0</v>
      </c>
      <c r="G15" s="166">
        <f t="shared" ref="G15:G19" si="23">IF(G$8=0,0,G14)</f>
        <v>0</v>
      </c>
      <c r="H15" s="166">
        <f t="shared" si="15"/>
        <v>28140</v>
      </c>
      <c r="I15" s="166">
        <f>IF(Master!$D$10="NA",0,IF(Master!$D$10=9%,ROUND(0.09*D15,0),ROUND(0.18*D15,0)))</f>
        <v>6030</v>
      </c>
      <c r="J15" s="166">
        <f t="shared" si="5"/>
        <v>0</v>
      </c>
      <c r="K15" s="166">
        <f t="shared" si="6"/>
        <v>0</v>
      </c>
      <c r="L15" s="166"/>
      <c r="M15" s="166" t="str">
        <f t="shared" si="7"/>
        <v/>
      </c>
      <c r="N15" s="92">
        <f t="shared" si="8"/>
        <v>101170</v>
      </c>
      <c r="O15" s="166">
        <f t="shared" si="9"/>
        <v>4200</v>
      </c>
      <c r="P15" s="166">
        <f t="shared" si="17"/>
        <v>0</v>
      </c>
      <c r="Q15" s="166">
        <f t="shared" si="18"/>
        <v>7000</v>
      </c>
      <c r="R15" s="166">
        <f t="shared" si="10"/>
        <v>0</v>
      </c>
      <c r="S15" s="166">
        <f t="shared" si="0"/>
        <v>875</v>
      </c>
      <c r="T15" s="166">
        <f t="shared" si="19"/>
        <v>1712</v>
      </c>
      <c r="U15" s="166">
        <v>0</v>
      </c>
      <c r="V15" s="166">
        <f t="shared" si="20"/>
        <v>8000</v>
      </c>
      <c r="W15" s="166"/>
      <c r="X15" s="166"/>
      <c r="Y15" s="166" t="str">
        <f>IF(AND(Master!$B$14="YES",Master!$B$11="Yes"),L15,"")</f>
        <v/>
      </c>
      <c r="Z15" s="166">
        <f t="shared" si="11"/>
        <v>0</v>
      </c>
      <c r="AA15" s="159">
        <f t="shared" si="12"/>
        <v>21787</v>
      </c>
      <c r="AB15" s="93">
        <f t="shared" si="13"/>
        <v>79383</v>
      </c>
      <c r="AC15" s="66"/>
      <c r="AD15" s="22"/>
    </row>
    <row r="16" spans="1:30" s="9" customFormat="1" ht="18" customHeight="1" x14ac:dyDescent="0.2">
      <c r="A16" s="22"/>
      <c r="B16" s="9">
        <v>11</v>
      </c>
      <c r="C16" s="165">
        <v>45231</v>
      </c>
      <c r="D16" s="157">
        <f t="shared" si="22"/>
        <v>67000</v>
      </c>
      <c r="E16" s="166">
        <f t="shared" si="14"/>
        <v>0</v>
      </c>
      <c r="F16" s="166">
        <f>IF(F$8=0,0,F15)</f>
        <v>0</v>
      </c>
      <c r="G16" s="166">
        <f t="shared" si="23"/>
        <v>0</v>
      </c>
      <c r="H16" s="166">
        <f>ROUND(46%*D16,0)</f>
        <v>30820</v>
      </c>
      <c r="I16" s="166">
        <f>IF(Master!$D$10="NA",0,IF(Master!$D$10=9%,ROUND(0.09*D16,0),ROUND(0.18*D16,0)))</f>
        <v>6030</v>
      </c>
      <c r="J16" s="166">
        <f t="shared" si="5"/>
        <v>0</v>
      </c>
      <c r="K16" s="166">
        <f t="shared" si="6"/>
        <v>0</v>
      </c>
      <c r="L16" s="166"/>
      <c r="M16" s="166" t="str">
        <f t="shared" si="7"/>
        <v/>
      </c>
      <c r="N16" s="92">
        <f t="shared" si="8"/>
        <v>103850</v>
      </c>
      <c r="O16" s="166">
        <f t="shared" si="9"/>
        <v>4200</v>
      </c>
      <c r="P16" s="166">
        <f t="shared" si="17"/>
        <v>0</v>
      </c>
      <c r="Q16" s="166">
        <f t="shared" si="18"/>
        <v>7000</v>
      </c>
      <c r="R16" s="166">
        <f t="shared" si="10"/>
        <v>0</v>
      </c>
      <c r="S16" s="166">
        <f t="shared" si="0"/>
        <v>875</v>
      </c>
      <c r="T16" s="166">
        <f t="shared" si="19"/>
        <v>1712</v>
      </c>
      <c r="U16" s="166">
        <v>0</v>
      </c>
      <c r="V16" s="166">
        <f t="shared" si="20"/>
        <v>8000</v>
      </c>
      <c r="W16" s="166"/>
      <c r="X16" s="166"/>
      <c r="Y16" s="166" t="str">
        <f>IF(AND(Master!$B$14="YES",Master!$B$11="Yes"),L16,"")</f>
        <v/>
      </c>
      <c r="Z16" s="166">
        <f t="shared" si="11"/>
        <v>0</v>
      </c>
      <c r="AA16" s="159">
        <f t="shared" si="12"/>
        <v>21787</v>
      </c>
      <c r="AB16" s="93">
        <f t="shared" si="13"/>
        <v>82063</v>
      </c>
      <c r="AC16" s="66"/>
      <c r="AD16" s="22"/>
    </row>
    <row r="17" spans="1:34" s="9" customFormat="1" ht="18" customHeight="1" x14ac:dyDescent="0.2">
      <c r="A17" s="22"/>
      <c r="B17" s="9">
        <v>12</v>
      </c>
      <c r="C17" s="165">
        <v>45261</v>
      </c>
      <c r="D17" s="157">
        <f t="shared" si="22"/>
        <v>67000</v>
      </c>
      <c r="E17" s="166">
        <f t="shared" si="14"/>
        <v>0</v>
      </c>
      <c r="F17" s="166">
        <f>IF(F$8=0,0,F16)</f>
        <v>0</v>
      </c>
      <c r="G17" s="166">
        <f t="shared" si="23"/>
        <v>0</v>
      </c>
      <c r="H17" s="166">
        <f t="shared" ref="H17:H19" si="24">ROUND(46%*D17,0)</f>
        <v>30820</v>
      </c>
      <c r="I17" s="166">
        <f>IF(Master!$D$10="NA",0,IF(Master!$D$10=9%,ROUND(0.09*D17,0),ROUND(0.18*D17,0)))</f>
        <v>6030</v>
      </c>
      <c r="J17" s="166">
        <f t="shared" si="5"/>
        <v>0</v>
      </c>
      <c r="K17" s="166">
        <f t="shared" si="6"/>
        <v>0</v>
      </c>
      <c r="L17" s="166"/>
      <c r="M17" s="166" t="str">
        <f t="shared" si="7"/>
        <v/>
      </c>
      <c r="N17" s="92">
        <f t="shared" si="8"/>
        <v>103850</v>
      </c>
      <c r="O17" s="166">
        <f t="shared" si="9"/>
        <v>4200</v>
      </c>
      <c r="P17" s="166">
        <f t="shared" si="17"/>
        <v>0</v>
      </c>
      <c r="Q17" s="166">
        <f t="shared" si="18"/>
        <v>7000</v>
      </c>
      <c r="R17" s="166">
        <f t="shared" si="10"/>
        <v>0</v>
      </c>
      <c r="S17" s="166">
        <f t="shared" si="0"/>
        <v>875</v>
      </c>
      <c r="T17" s="166">
        <f t="shared" si="19"/>
        <v>1712</v>
      </c>
      <c r="U17" s="166">
        <v>0</v>
      </c>
      <c r="V17" s="166">
        <f t="shared" si="20"/>
        <v>8000</v>
      </c>
      <c r="W17" s="166">
        <f>IF(Master!D14="NO",0,IF(Master!D6="State Service",500,250))</f>
        <v>500</v>
      </c>
      <c r="X17" s="192"/>
      <c r="Y17" s="166" t="str">
        <f>IF(AND(Master!$B$14="YES",Master!$B$11="Yes"),L17,"")</f>
        <v/>
      </c>
      <c r="Z17" s="166">
        <f t="shared" si="11"/>
        <v>0</v>
      </c>
      <c r="AA17" s="159">
        <f t="shared" si="12"/>
        <v>22287</v>
      </c>
      <c r="AB17" s="93">
        <f t="shared" si="13"/>
        <v>81563</v>
      </c>
      <c r="AC17" s="66"/>
      <c r="AD17" s="22"/>
    </row>
    <row r="18" spans="1:34" s="9" customFormat="1" ht="18" customHeight="1" x14ac:dyDescent="0.2">
      <c r="A18" s="22"/>
      <c r="B18" s="9">
        <v>1</v>
      </c>
      <c r="C18" s="165">
        <v>45292</v>
      </c>
      <c r="D18" s="157">
        <f t="shared" si="22"/>
        <v>67000</v>
      </c>
      <c r="E18" s="166">
        <f t="shared" si="14"/>
        <v>0</v>
      </c>
      <c r="F18" s="166">
        <f>IF(F$8=0,0,F17)</f>
        <v>0</v>
      </c>
      <c r="G18" s="166">
        <f t="shared" si="23"/>
        <v>0</v>
      </c>
      <c r="H18" s="166">
        <f t="shared" si="24"/>
        <v>30820</v>
      </c>
      <c r="I18" s="166">
        <f>IF(Master!$D$10="NA",0,IF(Master!$D$10=9%,ROUND(0.09*D18,0),ROUND(0.18*D18,0)))</f>
        <v>6030</v>
      </c>
      <c r="J18" s="166">
        <f t="shared" si="5"/>
        <v>0</v>
      </c>
      <c r="K18" s="166">
        <f t="shared" si="6"/>
        <v>0</v>
      </c>
      <c r="L18" s="166"/>
      <c r="M18" s="166" t="str">
        <f t="shared" si="7"/>
        <v/>
      </c>
      <c r="N18" s="92">
        <f t="shared" si="8"/>
        <v>103850</v>
      </c>
      <c r="O18" s="166">
        <f t="shared" si="9"/>
        <v>4200</v>
      </c>
      <c r="P18" s="166">
        <f t="shared" si="17"/>
        <v>0</v>
      </c>
      <c r="Q18" s="166">
        <f t="shared" si="18"/>
        <v>7000</v>
      </c>
      <c r="R18" s="166">
        <f t="shared" si="10"/>
        <v>0</v>
      </c>
      <c r="S18" s="166">
        <f t="shared" si="0"/>
        <v>875</v>
      </c>
      <c r="T18" s="166">
        <f t="shared" si="19"/>
        <v>1712</v>
      </c>
      <c r="U18" s="166"/>
      <c r="V18" s="166">
        <f t="shared" si="20"/>
        <v>8000</v>
      </c>
      <c r="W18" s="166"/>
      <c r="X18" s="166"/>
      <c r="Y18" s="166" t="str">
        <f>IF(AND(Master!$B$14="YES",Master!$B$11="Yes"),L18,"")</f>
        <v/>
      </c>
      <c r="Z18" s="166">
        <f t="shared" si="11"/>
        <v>0</v>
      </c>
      <c r="AA18" s="159">
        <f t="shared" si="12"/>
        <v>21787</v>
      </c>
      <c r="AB18" s="93">
        <f t="shared" si="13"/>
        <v>82063</v>
      </c>
      <c r="AC18" s="66"/>
      <c r="AD18" s="22"/>
    </row>
    <row r="19" spans="1:34" s="9" customFormat="1" ht="18" customHeight="1" x14ac:dyDescent="0.2">
      <c r="A19" s="22"/>
      <c r="B19" s="9">
        <v>2</v>
      </c>
      <c r="C19" s="165">
        <v>45323</v>
      </c>
      <c r="D19" s="157">
        <f t="shared" si="22"/>
        <v>67000</v>
      </c>
      <c r="E19" s="166">
        <f t="shared" si="14"/>
        <v>0</v>
      </c>
      <c r="F19" s="166">
        <f>IF(F$8=0,0,F18)</f>
        <v>0</v>
      </c>
      <c r="G19" s="166">
        <f t="shared" si="23"/>
        <v>0</v>
      </c>
      <c r="H19" s="166">
        <f t="shared" si="24"/>
        <v>30820</v>
      </c>
      <c r="I19" s="166">
        <f>IF(Master!$D$10="NA",0,IF(Master!$D$10=9%,ROUND(0.09*D19,0),ROUND(0.18*D19,0)))</f>
        <v>6030</v>
      </c>
      <c r="J19" s="166">
        <f t="shared" si="5"/>
        <v>0</v>
      </c>
      <c r="K19" s="166">
        <f t="shared" si="6"/>
        <v>0</v>
      </c>
      <c r="L19" s="166"/>
      <c r="M19" s="166" t="str">
        <f t="shared" si="7"/>
        <v/>
      </c>
      <c r="N19" s="92">
        <f t="shared" si="8"/>
        <v>103850</v>
      </c>
      <c r="O19" s="166">
        <f t="shared" si="9"/>
        <v>4200</v>
      </c>
      <c r="P19" s="166">
        <f t="shared" si="17"/>
        <v>0</v>
      </c>
      <c r="Q19" s="166">
        <f t="shared" si="18"/>
        <v>7000</v>
      </c>
      <c r="R19" s="166">
        <f t="shared" si="10"/>
        <v>0</v>
      </c>
      <c r="S19" s="166">
        <f t="shared" si="0"/>
        <v>875</v>
      </c>
      <c r="T19" s="166">
        <f t="shared" si="19"/>
        <v>1712</v>
      </c>
      <c r="U19" s="166">
        <v>0</v>
      </c>
      <c r="V19" s="166">
        <f t="shared" si="20"/>
        <v>8000</v>
      </c>
      <c r="W19" s="166"/>
      <c r="X19" s="166"/>
      <c r="Y19" s="166" t="str">
        <f>IF(AND(Master!$B$14="YES",Master!$B$11="Yes"),L19,"")</f>
        <v/>
      </c>
      <c r="Z19" s="166">
        <f t="shared" si="11"/>
        <v>0</v>
      </c>
      <c r="AA19" s="159">
        <f t="shared" si="12"/>
        <v>21787</v>
      </c>
      <c r="AB19" s="93">
        <f t="shared" si="13"/>
        <v>82063</v>
      </c>
      <c r="AC19" s="66"/>
      <c r="AD19" s="22"/>
    </row>
    <row r="20" spans="1:34" s="9" customFormat="1" ht="30" customHeight="1" x14ac:dyDescent="0.2">
      <c r="A20" s="22"/>
      <c r="C20" s="86" t="s">
        <v>320</v>
      </c>
      <c r="D20" s="157"/>
      <c r="E20" s="166"/>
      <c r="F20" s="166"/>
      <c r="G20" s="166"/>
      <c r="H20" s="166">
        <f>(ROUND(D8*42%,0)-ROUND(D8*38%,0))*3</f>
        <v>7800</v>
      </c>
      <c r="I20" s="166"/>
      <c r="J20" s="166"/>
      <c r="K20" s="166"/>
      <c r="L20" s="166"/>
      <c r="M20" s="166"/>
      <c r="N20" s="92">
        <f t="shared" si="8"/>
        <v>7800</v>
      </c>
      <c r="O20" s="166">
        <f>H20</f>
        <v>7800</v>
      </c>
      <c r="P20" s="166"/>
      <c r="Q20" s="166"/>
      <c r="R20" s="166"/>
      <c r="S20" s="166"/>
      <c r="T20" s="166"/>
      <c r="U20" s="166"/>
      <c r="V20" s="166"/>
      <c r="W20" s="166"/>
      <c r="X20" s="166"/>
      <c r="Y20" s="166" t="str">
        <f>IF(AND(Master!$B$14="YES",Master!$B$11="Yes"),L20,"")</f>
        <v/>
      </c>
      <c r="Z20" s="166"/>
      <c r="AA20" s="159">
        <f>SUM(O20:Z20)</f>
        <v>7800</v>
      </c>
      <c r="AB20" s="93">
        <f t="shared" si="13"/>
        <v>0</v>
      </c>
      <c r="AC20" s="66"/>
      <c r="AD20" s="22"/>
    </row>
    <row r="21" spans="1:34" s="9" customFormat="1" ht="30" customHeight="1" x14ac:dyDescent="0.2">
      <c r="A21" s="22"/>
      <c r="C21" s="86" t="s">
        <v>321</v>
      </c>
      <c r="D21" s="209"/>
      <c r="E21" s="166"/>
      <c r="F21" s="166"/>
      <c r="G21" s="166"/>
      <c r="H21" s="166">
        <f>(ROUND(D16*46%,0)-ROUND(D16*42%,0))*4</f>
        <v>10720</v>
      </c>
      <c r="I21" s="166"/>
      <c r="J21" s="166"/>
      <c r="K21" s="166"/>
      <c r="L21" s="166"/>
      <c r="M21" s="166"/>
      <c r="N21" s="92">
        <f t="shared" si="8"/>
        <v>10720</v>
      </c>
      <c r="O21" s="166">
        <f>H21</f>
        <v>10720</v>
      </c>
      <c r="P21" s="166"/>
      <c r="Q21" s="166"/>
      <c r="R21" s="166"/>
      <c r="S21" s="166"/>
      <c r="T21" s="166"/>
      <c r="U21" s="166"/>
      <c r="V21" s="166"/>
      <c r="W21" s="166"/>
      <c r="X21" s="166"/>
      <c r="Y21" s="166" t="str">
        <f>IF(AND(Master!$B$14="YES",Master!$B$11="Yes"),L21,"")</f>
        <v/>
      </c>
      <c r="Z21" s="166"/>
      <c r="AA21" s="159">
        <f t="shared" si="12"/>
        <v>10720</v>
      </c>
      <c r="AB21" s="93">
        <f t="shared" si="13"/>
        <v>0</v>
      </c>
      <c r="AC21" s="66"/>
      <c r="AD21" s="22"/>
      <c r="AF21" s="191">
        <f>ROUND(D12*3%,0)</f>
        <v>2010</v>
      </c>
      <c r="AG21" s="191">
        <f>ROUND(AF21*10%,0)</f>
        <v>201</v>
      </c>
      <c r="AH21" s="191">
        <f>AF21-AG21</f>
        <v>1809</v>
      </c>
    </row>
    <row r="22" spans="1:34" s="9" customFormat="1" ht="30" customHeight="1" x14ac:dyDescent="0.2">
      <c r="A22" s="22"/>
      <c r="C22" s="200" t="s">
        <v>319</v>
      </c>
      <c r="D22" s="157">
        <f>IF(Master!D11="YES",6774,0)</f>
        <v>6774</v>
      </c>
      <c r="E22" s="166"/>
      <c r="F22" s="166"/>
      <c r="G22" s="166"/>
      <c r="H22" s="166"/>
      <c r="I22" s="166"/>
      <c r="J22" s="166"/>
      <c r="K22" s="166"/>
      <c r="L22" s="166"/>
      <c r="M22" s="166"/>
      <c r="N22" s="92">
        <f t="shared" si="8"/>
        <v>6774</v>
      </c>
      <c r="O22" s="166">
        <f>IF(D22="","",ROUND((D22*25%),0))</f>
        <v>1694</v>
      </c>
      <c r="P22" s="166"/>
      <c r="Q22" s="166"/>
      <c r="R22" s="166"/>
      <c r="S22" s="166"/>
      <c r="T22" s="166"/>
      <c r="U22" s="166"/>
      <c r="V22" s="166"/>
      <c r="W22" s="166"/>
      <c r="X22" s="166"/>
      <c r="Y22" s="166" t="str">
        <f>IF(AND(Master!$B$14="YES",Master!$B$11="Yes"),L22,"")</f>
        <v/>
      </c>
      <c r="Z22" s="166"/>
      <c r="AA22" s="159">
        <f t="shared" si="12"/>
        <v>1694</v>
      </c>
      <c r="AB22" s="93">
        <f t="shared" si="13"/>
        <v>5080</v>
      </c>
      <c r="AC22" s="66"/>
      <c r="AD22" s="22"/>
      <c r="AF22" s="191">
        <f>ROUND(D13*3%,0)</f>
        <v>2010</v>
      </c>
      <c r="AG22" s="191">
        <f t="shared" ref="AG22:AG23" si="25">ROUND(AF22*10%,0)</f>
        <v>201</v>
      </c>
      <c r="AH22" s="191">
        <f t="shared" ref="AH22:AH23" si="26">AF22-AG22</f>
        <v>1809</v>
      </c>
    </row>
    <row r="23" spans="1:34" s="9" customFormat="1" ht="30" customHeight="1" x14ac:dyDescent="0.2">
      <c r="A23" s="22"/>
      <c r="C23" s="201" t="s">
        <v>354</v>
      </c>
      <c r="D23" s="157">
        <f>IF(Master!B12="NO",0,IF(Master!D12="NA",0,IF(Master!D12=3,GA55A!D19/2,VLOOKUP(Master!D12,GA55A!B8:D19,3,FALSE)/2)))</f>
        <v>33500</v>
      </c>
      <c r="E23" s="166"/>
      <c r="F23" s="166"/>
      <c r="G23" s="166"/>
      <c r="H23" s="166">
        <f>IF(AND(Master!D12&gt;3,Master!D12&lt;11),ROUND(GA55A!D23*42%,0),IF(AND(Master!D12&gt;10,Master!D12&lt;13),ROUND(GA55A!D23*46%,0),ROUND(GA55A!D23*46%,0)))</f>
        <v>14070</v>
      </c>
      <c r="I23" s="210"/>
      <c r="J23" s="166"/>
      <c r="K23" s="166"/>
      <c r="L23" s="166" t="str">
        <f>IF(AND(Master!$B$14="YES",Master!$B$11="Yes"),O20,"")</f>
        <v/>
      </c>
      <c r="M23" s="166"/>
      <c r="N23" s="92">
        <f>SUM(D23:M23)</f>
        <v>47570</v>
      </c>
      <c r="O23" s="191"/>
      <c r="P23" s="166"/>
      <c r="Q23" s="166"/>
      <c r="R23" s="166"/>
      <c r="S23" s="166"/>
      <c r="T23" s="166"/>
      <c r="U23" s="166"/>
      <c r="V23" s="166"/>
      <c r="W23" s="166"/>
      <c r="X23" s="166"/>
      <c r="Y23" s="166" t="str">
        <f>IF(AND(Master!$B$14="YES",Master!$B$11="Yes"),L23,"")</f>
        <v/>
      </c>
      <c r="Z23" s="166"/>
      <c r="AA23" s="159">
        <f t="shared" si="12"/>
        <v>0</v>
      </c>
      <c r="AB23" s="93">
        <f t="shared" si="13"/>
        <v>47570</v>
      </c>
      <c r="AC23" s="66"/>
      <c r="AD23" s="22"/>
      <c r="AF23" s="191">
        <f>ROUND(D14*3%,0)</f>
        <v>2010</v>
      </c>
      <c r="AG23" s="191">
        <f t="shared" si="25"/>
        <v>201</v>
      </c>
      <c r="AH23" s="191">
        <f t="shared" si="26"/>
        <v>1809</v>
      </c>
    </row>
    <row r="24" spans="1:34" s="9" customFormat="1" ht="30" customHeight="1" x14ac:dyDescent="0.2">
      <c r="A24" s="22"/>
      <c r="C24" s="86" t="s">
        <v>353</v>
      </c>
      <c r="D24" s="157"/>
      <c r="E24" s="166"/>
      <c r="F24" s="166"/>
      <c r="G24" s="166"/>
      <c r="H24" s="166">
        <f>IF(Master!$B$12="NO","",IF(AND(Master!$D$12&gt;6,Master!$D$12&lt;11),ROUND(D12*2%,0),""))</f>
        <v>1340</v>
      </c>
      <c r="I24" s="166"/>
      <c r="J24" s="166"/>
      <c r="K24" s="166"/>
      <c r="L24" s="166"/>
      <c r="M24" s="166"/>
      <c r="N24" s="92">
        <f t="shared" si="8"/>
        <v>1340</v>
      </c>
      <c r="O24" s="166">
        <f>H24</f>
        <v>1340</v>
      </c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59">
        <f t="shared" si="12"/>
        <v>1340</v>
      </c>
      <c r="AB24" s="93">
        <f t="shared" si="13"/>
        <v>0</v>
      </c>
      <c r="AC24" s="66"/>
      <c r="AD24" s="22"/>
      <c r="AF24" s="191"/>
      <c r="AG24" s="191"/>
      <c r="AH24" s="191"/>
    </row>
    <row r="25" spans="1:34" s="9" customFormat="1" ht="30" customHeight="1" x14ac:dyDescent="0.2">
      <c r="A25" s="22"/>
      <c r="C25" s="86" t="s">
        <v>165</v>
      </c>
      <c r="D25" s="157"/>
      <c r="E25" s="166"/>
      <c r="F25" s="166"/>
      <c r="G25" s="166"/>
      <c r="H25" s="166"/>
      <c r="I25" s="166"/>
      <c r="J25" s="166"/>
      <c r="K25" s="166"/>
      <c r="L25" s="166"/>
      <c r="M25" s="166"/>
      <c r="N25" s="92">
        <f t="shared" si="8"/>
        <v>0</v>
      </c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 t="str">
        <f>IF(AND(Master!$B$14="YES",Master!$B$11="Yes"),L25,"")</f>
        <v/>
      </c>
      <c r="Z25" s="166"/>
      <c r="AA25" s="159">
        <f t="shared" si="12"/>
        <v>0</v>
      </c>
      <c r="AB25" s="93">
        <f t="shared" si="13"/>
        <v>0</v>
      </c>
      <c r="AC25" s="66"/>
      <c r="AD25" s="22"/>
      <c r="AF25" s="191">
        <f>SUM(AF21:AF24)</f>
        <v>6030</v>
      </c>
      <c r="AG25" s="191">
        <f>SUM(AG21:AG24)</f>
        <v>603</v>
      </c>
      <c r="AH25" s="191">
        <f>SUM(AH21:AH24)</f>
        <v>5427</v>
      </c>
    </row>
    <row r="26" spans="1:34" s="9" customFormat="1" ht="30" customHeight="1" x14ac:dyDescent="0.2">
      <c r="A26" s="22"/>
      <c r="C26" s="86" t="s">
        <v>195</v>
      </c>
      <c r="D26" s="157"/>
      <c r="E26" s="166"/>
      <c r="F26" s="166"/>
      <c r="G26" s="166"/>
      <c r="H26" s="166"/>
      <c r="I26" s="166"/>
      <c r="J26" s="166"/>
      <c r="K26" s="166"/>
      <c r="L26" s="166"/>
      <c r="M26" s="166"/>
      <c r="N26" s="92">
        <f t="shared" si="8"/>
        <v>0</v>
      </c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 t="str">
        <f>IF(AND(Master!$B$14="YES",Master!$B$11="Yes"),L26,"")</f>
        <v/>
      </c>
      <c r="Z26" s="166"/>
      <c r="AA26" s="159">
        <f t="shared" si="12"/>
        <v>0</v>
      </c>
      <c r="AB26" s="93">
        <f t="shared" si="13"/>
        <v>0</v>
      </c>
      <c r="AC26" s="66"/>
      <c r="AD26" s="22"/>
      <c r="AF26" s="191">
        <f>IF(Master!B12="YES",IF(AND(Master!D12&gt;6,Master!D12&lt;10),ROUND(D23*3%,0),0))</f>
        <v>0</v>
      </c>
    </row>
    <row r="27" spans="1:34" s="9" customFormat="1" ht="30" customHeight="1" x14ac:dyDescent="0.2">
      <c r="A27" s="22"/>
      <c r="C27" s="86" t="s">
        <v>196</v>
      </c>
      <c r="D27" s="157"/>
      <c r="E27" s="166"/>
      <c r="F27" s="166"/>
      <c r="G27" s="166"/>
      <c r="H27" s="166"/>
      <c r="I27" s="166"/>
      <c r="J27" s="166"/>
      <c r="K27" s="166"/>
      <c r="L27" s="166"/>
      <c r="M27" s="166"/>
      <c r="N27" s="92">
        <f t="shared" si="8"/>
        <v>0</v>
      </c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 t="str">
        <f>IF(AND(Master!$B$14="YES",Master!$B$11="Yes"),L27,"")</f>
        <v/>
      </c>
      <c r="Z27" s="166"/>
      <c r="AA27" s="159">
        <f t="shared" si="12"/>
        <v>0</v>
      </c>
      <c r="AB27" s="93">
        <f t="shared" si="13"/>
        <v>0</v>
      </c>
      <c r="AC27" s="66"/>
      <c r="AD27" s="22"/>
    </row>
    <row r="28" spans="1:34" s="10" customFormat="1" ht="81" customHeight="1" thickBot="1" x14ac:dyDescent="0.25">
      <c r="A28" s="23"/>
      <c r="C28" s="91" t="s">
        <v>52</v>
      </c>
      <c r="D28" s="158">
        <f t="shared" ref="D28:Q28" si="27">SUM(D8:D27)</f>
        <v>836274</v>
      </c>
      <c r="E28" s="164">
        <f t="shared" si="27"/>
        <v>0</v>
      </c>
      <c r="F28" s="164">
        <f t="shared" si="27"/>
        <v>0</v>
      </c>
      <c r="G28" s="164">
        <f t="shared" si="27"/>
        <v>0</v>
      </c>
      <c r="H28" s="164">
        <f t="shared" si="27"/>
        <v>376370</v>
      </c>
      <c r="I28" s="164">
        <f t="shared" si="27"/>
        <v>71640</v>
      </c>
      <c r="J28" s="164">
        <f t="shared" si="27"/>
        <v>0</v>
      </c>
      <c r="K28" s="164">
        <f t="shared" si="27"/>
        <v>0</v>
      </c>
      <c r="L28" s="164">
        <f t="shared" si="27"/>
        <v>0</v>
      </c>
      <c r="M28" s="164">
        <f t="shared" si="27"/>
        <v>0</v>
      </c>
      <c r="N28" s="90">
        <f>SUM(N8:N27)</f>
        <v>1284284</v>
      </c>
      <c r="O28" s="164">
        <f t="shared" si="27"/>
        <v>71954</v>
      </c>
      <c r="P28" s="164">
        <f t="shared" si="27"/>
        <v>0</v>
      </c>
      <c r="Q28" s="164">
        <f t="shared" si="27"/>
        <v>84000</v>
      </c>
      <c r="R28" s="164">
        <f>SUM(R8:R27)</f>
        <v>0</v>
      </c>
      <c r="S28" s="164">
        <f t="shared" ref="S28:Z28" si="28">SUM(S8:S27)</f>
        <v>10500</v>
      </c>
      <c r="T28" s="164">
        <f t="shared" si="28"/>
        <v>20544</v>
      </c>
      <c r="U28" s="164">
        <f t="shared" si="28"/>
        <v>700</v>
      </c>
      <c r="V28" s="164">
        <f t="shared" si="28"/>
        <v>96000</v>
      </c>
      <c r="W28" s="164">
        <f t="shared" si="28"/>
        <v>500</v>
      </c>
      <c r="X28" s="164">
        <f t="shared" si="28"/>
        <v>0</v>
      </c>
      <c r="Y28" s="164">
        <f t="shared" si="28"/>
        <v>0</v>
      </c>
      <c r="Z28" s="164">
        <f t="shared" si="28"/>
        <v>0</v>
      </c>
      <c r="AA28" s="158">
        <f t="shared" ref="AA28:AB28" si="29">SUM(AA8:AA27)</f>
        <v>284198</v>
      </c>
      <c r="AB28" s="90">
        <f t="shared" si="29"/>
        <v>1000086</v>
      </c>
      <c r="AC28" s="87"/>
      <c r="AD28" s="23"/>
    </row>
    <row r="29" spans="1:34" s="4" customFormat="1" x14ac:dyDescent="0.2">
      <c r="A29" s="24"/>
      <c r="AD29" s="24"/>
    </row>
    <row r="30" spans="1:34" s="4" customFormat="1" x14ac:dyDescent="0.2">
      <c r="A30" s="24"/>
      <c r="AD30" s="24"/>
    </row>
    <row r="31" spans="1:34" s="4" customFormat="1" x14ac:dyDescent="0.2">
      <c r="A31" s="24"/>
      <c r="AD31" s="24"/>
    </row>
    <row r="32" spans="1:34" x14ac:dyDescent="0.2"/>
    <row r="33" spans="1:30" s="89" customFormat="1" ht="20.25" x14ac:dyDescent="0.2">
      <c r="A33" s="88"/>
      <c r="E33" s="184" t="s">
        <v>53</v>
      </c>
      <c r="AB33" s="184" t="s">
        <v>54</v>
      </c>
      <c r="AD33" s="88"/>
    </row>
    <row r="34" spans="1:30" ht="17.25" x14ac:dyDescent="0.2">
      <c r="D34" s="89"/>
      <c r="E34" s="202" t="str">
        <f>CONCATENATE("(",Master!B5,")")</f>
        <v>(Chandra Prakash Kurmi)</v>
      </c>
      <c r="F34" s="194"/>
      <c r="G34" s="194"/>
      <c r="H34" s="194"/>
      <c r="I34" s="194"/>
      <c r="J34" s="194"/>
      <c r="K34" s="194"/>
      <c r="L34" s="194"/>
      <c r="M34" s="194"/>
      <c r="N34" s="285" t="s">
        <v>92</v>
      </c>
      <c r="O34" s="285"/>
      <c r="P34" s="285"/>
      <c r="Q34" s="194"/>
      <c r="R34" s="194"/>
      <c r="S34" s="194"/>
      <c r="T34" s="194"/>
      <c r="U34" s="195"/>
      <c r="V34" s="195"/>
      <c r="W34" s="195"/>
      <c r="X34" s="194"/>
      <c r="Y34" s="194"/>
      <c r="Z34" s="194"/>
      <c r="AA34" s="194"/>
      <c r="AB34" s="202" t="str">
        <f>IF(Master!D4="","",CONCATENATE("(",Master!D4,")"))</f>
        <v>(ABCD)</v>
      </c>
      <c r="AC34" s="194"/>
    </row>
    <row r="35" spans="1:30" ht="21.75" hidden="1" customHeight="1" x14ac:dyDescent="0.2"/>
  </sheetData>
  <sheetProtection algorithmName="SHA-512" hashValue="o+Twggje/zNgDvLXCTvMQo+9ZCLR9rFN1qiscAR+Ut/YnP/XYZcXAr8/Kza5+cH46A2oS4sMbEPbJpkTyk2W7g==" saltValue="ojNvwNdUM5xqHkAXa3MZ2A==" spinCount="100000" sheet="1" objects="1" scenarios="1" formatColumns="0" selectLockedCells="1"/>
  <customSheetViews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N34:P34"/>
    <mergeCell ref="Z6:AA6"/>
    <mergeCell ref="AB6:AC6"/>
    <mergeCell ref="R6:S6"/>
    <mergeCell ref="T6:W6"/>
    <mergeCell ref="C2:AC2"/>
    <mergeCell ref="C3:AC3"/>
    <mergeCell ref="AB5:AC5"/>
    <mergeCell ref="Z5:AA5"/>
    <mergeCell ref="D5:J5"/>
    <mergeCell ref="R5:S5"/>
    <mergeCell ref="T5:V5"/>
    <mergeCell ref="D6:J6"/>
    <mergeCell ref="K5:L5"/>
    <mergeCell ref="K6:L6"/>
    <mergeCell ref="M5:O5"/>
    <mergeCell ref="M6:N6"/>
  </mergeCells>
  <phoneticPr fontId="0" type="noConversion"/>
  <conditionalFormatting sqref="S8:Y8 D8:S19 Y8:Y27 S9:X16 Y9:Z19 N11:N27 S17:W17 S18:X19 D20:Z20 E21:Z21 D22:X22 Z22 D23:H23 J23:N23 P23:Z23 D24:Z27">
    <cfRule type="cellIs" dxfId="11" priority="9" stopIfTrue="1" operator="equal">
      <formula>0</formula>
    </cfRule>
  </conditionalFormatting>
  <dataValidations count="2">
    <dataValidation type="list" allowBlank="1" showInputMessage="1" showErrorMessage="1" sqref="AA1 L1" xr:uid="{00000000-0002-0000-0200-000000000000}">
      <formula1>"Yes,No"</formula1>
    </dataValidation>
    <dataValidation type="list" allowBlank="1" showInputMessage="1" showErrorMessage="1" sqref="T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69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S578"/>
  <sheetViews>
    <sheetView zoomScale="110" zoomScaleNormal="110" workbookViewId="0">
      <selection activeCell="E12" sqref="E12"/>
    </sheetView>
  </sheetViews>
  <sheetFormatPr defaultColWidth="0" defaultRowHeight="15.75" zeroHeight="1" x14ac:dyDescent="0.25"/>
  <cols>
    <col min="1" max="1" width="51.85546875" style="1" customWidth="1"/>
    <col min="2" max="2" width="11.85546875" style="1" bestFit="1" customWidth="1"/>
    <col min="3" max="3" width="0.5703125" style="1" customWidth="1"/>
    <col min="4" max="4" width="71.5703125" style="1" customWidth="1"/>
    <col min="5" max="5" width="11.85546875" style="1" bestFit="1" customWidth="1"/>
    <col min="6" max="6" width="17.5703125" style="106" customWidth="1"/>
    <col min="7" max="7" width="8.5703125" style="1" customWidth="1"/>
    <col min="8" max="8" width="12" style="1" hidden="1" customWidth="1"/>
    <col min="9" max="9" width="8.5703125" style="38" hidden="1" customWidth="1"/>
    <col min="10" max="10" width="12.140625" style="38" hidden="1" customWidth="1"/>
    <col min="11" max="11" width="12.42578125" style="38" hidden="1" customWidth="1"/>
    <col min="12" max="12" width="11.5703125" style="38" hidden="1" customWidth="1"/>
    <col min="13" max="13" width="5.7109375" style="1" hidden="1" customWidth="1"/>
    <col min="14" max="14" width="4.85546875" style="38" hidden="1" customWidth="1"/>
    <col min="15" max="15" width="7.85546875" style="38" hidden="1" customWidth="1"/>
    <col min="16" max="16" width="10" style="38" hidden="1" customWidth="1"/>
    <col min="17" max="17" width="9.28515625" style="38" hidden="1" customWidth="1"/>
    <col min="18" max="18" width="11.7109375" style="38" hidden="1" customWidth="1"/>
    <col min="19" max="19" width="7.140625" style="38" hidden="1" customWidth="1"/>
    <col min="20" max="20" width="6.7109375" style="107" hidden="1" customWidth="1"/>
    <col min="21" max="21" width="14.5703125" style="38" hidden="1" customWidth="1"/>
    <col min="22" max="23" width="7.85546875" style="38" hidden="1" customWidth="1"/>
    <col min="24" max="24" width="5.7109375" style="38" hidden="1" customWidth="1"/>
    <col min="25" max="25" width="6" style="38" hidden="1" customWidth="1"/>
    <col min="26" max="26" width="8" style="38" hidden="1" customWidth="1"/>
    <col min="27" max="27" width="7" style="38" hidden="1" customWidth="1"/>
    <col min="28" max="28" width="6.5703125" style="38" hidden="1" customWidth="1"/>
    <col min="29" max="29" width="11.140625" style="38" hidden="1" customWidth="1"/>
    <col min="30" max="30" width="11.140625" style="1" hidden="1" customWidth="1"/>
    <col min="31" max="31" width="5.28515625" style="1" hidden="1" customWidth="1"/>
    <col min="32" max="32" width="8.28515625" style="1" hidden="1" customWidth="1"/>
    <col min="33" max="34" width="5.28515625" style="1" hidden="1" customWidth="1"/>
    <col min="35" max="35" width="8.28515625" style="1" hidden="1" customWidth="1"/>
    <col min="36" max="36" width="5.140625" style="1" hidden="1" customWidth="1"/>
    <col min="37" max="38" width="9.5703125" style="1" hidden="1" customWidth="1"/>
    <col min="39" max="39" width="10.5703125" style="1" hidden="1" customWidth="1"/>
    <col min="40" max="40" width="5.140625" style="1" hidden="1" customWidth="1"/>
    <col min="41" max="41" width="7.28515625" style="1" hidden="1" customWidth="1"/>
    <col min="42" max="42" width="7.7109375" style="1" hidden="1" customWidth="1"/>
    <col min="43" max="43" width="5.140625" style="1" hidden="1" customWidth="1"/>
    <col min="44" max="44" width="8" style="1" hidden="1" customWidth="1"/>
    <col min="45" max="45" width="11.42578125" style="1" hidden="1" customWidth="1"/>
    <col min="46" max="46" width="14.28515625" style="1" hidden="1" customWidth="1"/>
    <col min="47" max="47" width="9" style="1" hidden="1" customWidth="1"/>
    <col min="48" max="48" width="5.85546875" style="1" hidden="1" customWidth="1"/>
    <col min="49" max="49" width="7.5703125" style="1" hidden="1" customWidth="1"/>
    <col min="50" max="50" width="13.140625" style="1" hidden="1" customWidth="1"/>
    <col min="51" max="51" width="7.5703125" style="1" hidden="1" customWidth="1"/>
    <col min="52" max="52" width="13.140625" style="1" hidden="1" customWidth="1"/>
    <col min="53" max="53" width="7.5703125" style="1" hidden="1" customWidth="1"/>
    <col min="54" max="54" width="13.140625" style="1" hidden="1" customWidth="1"/>
    <col min="55" max="55" width="7.5703125" style="1" hidden="1" customWidth="1"/>
    <col min="56" max="56" width="13.140625" style="1" hidden="1" customWidth="1"/>
    <col min="57" max="57" width="7.5703125" style="1" hidden="1" customWidth="1"/>
    <col min="58" max="58" width="13.140625" style="1" hidden="1" customWidth="1"/>
    <col min="59" max="59" width="7.5703125" style="1" hidden="1" customWidth="1"/>
    <col min="60" max="60" width="13.140625" style="1" hidden="1" customWidth="1"/>
    <col min="61" max="61" width="7.5703125" style="1" hidden="1" customWidth="1"/>
    <col min="62" max="62" width="13.140625" style="1" hidden="1" customWidth="1"/>
    <col min="63" max="63" width="7.5703125" style="1" hidden="1" customWidth="1"/>
    <col min="64" max="64" width="13.140625" style="1" hidden="1" customWidth="1"/>
    <col min="65" max="65" width="5.140625" style="1" hidden="1" customWidth="1"/>
    <col min="66" max="66" width="7.140625" style="1" hidden="1" customWidth="1"/>
    <col min="67" max="67" width="6.7109375" style="1" hidden="1" customWidth="1"/>
    <col min="68" max="68" width="5.140625" style="1" hidden="1" customWidth="1"/>
    <col min="69" max="70" width="7.7109375" style="1" hidden="1" customWidth="1"/>
    <col min="71" max="72" width="7.28515625" style="1" hidden="1" customWidth="1"/>
    <col min="73" max="73" width="9.7109375" style="1" hidden="1" customWidth="1"/>
    <col min="74" max="74" width="9.28515625" style="1" hidden="1" customWidth="1"/>
    <col min="75" max="75" width="7.7109375" style="1" hidden="1" customWidth="1"/>
    <col min="76" max="76" width="7.85546875" style="1" hidden="1" customWidth="1"/>
    <col min="77" max="77" width="9.28515625" style="1" hidden="1" customWidth="1"/>
    <col min="78" max="78" width="10" style="1" hidden="1" customWidth="1"/>
    <col min="79" max="79" width="7" style="1" hidden="1" customWidth="1"/>
    <col min="80" max="80" width="7.5703125" style="1" hidden="1" customWidth="1"/>
    <col min="81" max="81" width="9.28515625" style="1" hidden="1" customWidth="1"/>
    <col min="82" max="82" width="9" style="1" hidden="1" customWidth="1"/>
    <col min="83" max="83" width="7.7109375" style="1" hidden="1" customWidth="1"/>
    <col min="84" max="84" width="5.140625" style="1" hidden="1" customWidth="1"/>
    <col min="85" max="85" width="7.28515625" style="1" hidden="1" customWidth="1"/>
    <col min="86" max="86" width="6.5703125" style="1" hidden="1" customWidth="1"/>
    <col min="87" max="87" width="6.28515625" style="1" hidden="1" customWidth="1"/>
    <col min="88" max="88" width="6.42578125" style="1" hidden="1" customWidth="1"/>
    <col min="89" max="89" width="5.140625" style="1" hidden="1" customWidth="1"/>
    <col min="90" max="90" width="6.28515625" style="1" hidden="1" customWidth="1"/>
    <col min="91" max="95" width="5.28515625" style="1" hidden="1" customWidth="1"/>
    <col min="96" max="96" width="5.140625" style="1" hidden="1" customWidth="1"/>
    <col min="97" max="97" width="7.5703125" style="1" hidden="1" customWidth="1"/>
    <col min="98" max="98" width="7.28515625" style="1" hidden="1" customWidth="1"/>
    <col min="99" max="99" width="12.85546875" style="1" hidden="1" customWidth="1"/>
    <col min="100" max="100" width="7.28515625" style="1" hidden="1" customWidth="1"/>
    <col min="101" max="101" width="12.85546875" style="1" hidden="1" customWidth="1"/>
    <col min="102" max="102" width="9.85546875" style="1" hidden="1" customWidth="1"/>
    <col min="103" max="103" width="10" style="1" hidden="1" customWidth="1"/>
    <col min="104" max="104" width="13.42578125" style="1" hidden="1" customWidth="1"/>
    <col min="105" max="105" width="10.140625" style="1" hidden="1" customWidth="1"/>
    <col min="106" max="106" width="8.42578125" style="1" hidden="1" customWidth="1"/>
    <col min="107" max="107" width="13.5703125" style="1" hidden="1" customWidth="1"/>
    <col min="108" max="108" width="5.140625" style="1" hidden="1" customWidth="1"/>
    <col min="109" max="109" width="8" style="1" hidden="1" customWidth="1"/>
    <col min="110" max="110" width="11.42578125" style="1" hidden="1" customWidth="1"/>
    <col min="111" max="111" width="7.7109375" style="1" hidden="1" customWidth="1"/>
    <col min="112" max="112" width="7.5703125" style="1" hidden="1" customWidth="1"/>
    <col min="113" max="114" width="5.140625" style="1" hidden="1" customWidth="1"/>
    <col min="115" max="115" width="14.140625" style="1" hidden="1" customWidth="1"/>
    <col min="116" max="116" width="15.5703125" style="1" hidden="1" customWidth="1"/>
    <col min="117" max="117" width="6.85546875" style="1" hidden="1" customWidth="1"/>
    <col min="118" max="16384" width="9.140625" style="1" hidden="1"/>
  </cols>
  <sheetData>
    <row r="1" spans="1:123" ht="30.75" customHeight="1" x14ac:dyDescent="0.25">
      <c r="A1" s="301" t="s">
        <v>94</v>
      </c>
      <c r="B1" s="302"/>
      <c r="C1" s="302"/>
      <c r="D1" s="302"/>
      <c r="E1" s="302"/>
      <c r="F1" s="303"/>
      <c r="G1" s="44"/>
      <c r="I1" s="1"/>
      <c r="J1" s="1"/>
      <c r="K1" s="1"/>
      <c r="L1" s="1"/>
      <c r="M1" s="44"/>
      <c r="N1" s="45"/>
      <c r="O1" s="44"/>
      <c r="P1" s="44"/>
      <c r="Q1" s="44"/>
      <c r="R1" s="44"/>
      <c r="S1" s="44"/>
      <c r="T1" s="112"/>
      <c r="U1" s="109" t="s">
        <v>167</v>
      </c>
      <c r="V1" s="109" t="s">
        <v>168</v>
      </c>
      <c r="W1" s="109" t="s">
        <v>202</v>
      </c>
      <c r="AA1" s="1"/>
      <c r="AB1" s="1"/>
      <c r="AC1" s="1"/>
    </row>
    <row r="2" spans="1:123" ht="27.75" customHeight="1" x14ac:dyDescent="0.25">
      <c r="A2" s="304" t="str">
        <f>GA55A!D5&amp; " ,   " &amp;GA55A!D6&amp;"                         PAN-  "&amp;GA55A!M5</f>
        <v>Chandra Prakash Kurmi ,   Lecturer (L-13)                         PAN-  AAAAAXXXXA</v>
      </c>
      <c r="B2" s="305"/>
      <c r="C2" s="305"/>
      <c r="D2" s="305"/>
      <c r="E2" s="305"/>
      <c r="F2" s="306"/>
      <c r="G2" s="44"/>
      <c r="K2" s="187" t="s">
        <v>298</v>
      </c>
      <c r="M2" s="44"/>
      <c r="N2" s="45"/>
      <c r="O2" s="45"/>
      <c r="P2" s="45"/>
      <c r="Q2" s="45"/>
      <c r="R2" s="45"/>
      <c r="S2" s="45"/>
      <c r="T2" s="111">
        <v>3</v>
      </c>
      <c r="U2" s="110">
        <f>GA55A!D8</f>
        <v>65000</v>
      </c>
      <c r="V2" s="110">
        <f>GA55A!H8</f>
        <v>24700</v>
      </c>
      <c r="W2" s="110">
        <f>GA55A!I8</f>
        <v>5850</v>
      </c>
    </row>
    <row r="3" spans="1:123" ht="15" customHeight="1" x14ac:dyDescent="0.25">
      <c r="A3" s="46" t="s">
        <v>76</v>
      </c>
      <c r="B3" s="71">
        <v>0</v>
      </c>
      <c r="C3" s="35"/>
      <c r="D3" s="34" t="s">
        <v>112</v>
      </c>
      <c r="E3" s="75">
        <v>50000</v>
      </c>
      <c r="F3" s="155" t="s">
        <v>201</v>
      </c>
      <c r="G3" s="44"/>
      <c r="M3" s="44"/>
      <c r="N3" s="45"/>
      <c r="O3" s="45"/>
      <c r="P3" s="45"/>
      <c r="Q3" s="45"/>
      <c r="R3" s="45"/>
      <c r="S3" s="45"/>
      <c r="T3" s="111">
        <v>4</v>
      </c>
      <c r="U3" s="110">
        <f>GA55A!D9</f>
        <v>65000</v>
      </c>
      <c r="V3" s="110">
        <f>GA55A!H9</f>
        <v>27300</v>
      </c>
      <c r="W3" s="110">
        <f>GA55A!I9</f>
        <v>5850</v>
      </c>
      <c r="DS3" s="2" t="s">
        <v>15</v>
      </c>
    </row>
    <row r="4" spans="1:123" ht="16.5" x14ac:dyDescent="0.25">
      <c r="A4" s="47" t="s">
        <v>77</v>
      </c>
      <c r="B4" s="72">
        <v>0</v>
      </c>
      <c r="C4" s="35"/>
      <c r="D4" s="29" t="s">
        <v>111</v>
      </c>
      <c r="E4" s="74">
        <v>0</v>
      </c>
      <c r="F4" s="102">
        <f>'Tax (Old Regime)'!P4</f>
        <v>1284284</v>
      </c>
      <c r="G4" s="44"/>
      <c r="K4" s="113">
        <f>SUM('Tax (Old Regime)'!H21:I30)</f>
        <v>177198</v>
      </c>
      <c r="M4" s="44"/>
      <c r="N4" s="45"/>
      <c r="O4" s="45"/>
      <c r="P4" s="45"/>
      <c r="Q4" s="45"/>
      <c r="R4" s="45"/>
      <c r="S4" s="45"/>
      <c r="T4" s="111">
        <v>5</v>
      </c>
      <c r="U4" s="110">
        <f>GA55A!D10</f>
        <v>65000</v>
      </c>
      <c r="V4" s="110">
        <f>GA55A!H10</f>
        <v>27300</v>
      </c>
      <c r="W4" s="110">
        <f>GA55A!I10</f>
        <v>5850</v>
      </c>
      <c r="DS4" s="2"/>
    </row>
    <row r="5" spans="1:123" ht="15" customHeight="1" x14ac:dyDescent="0.3">
      <c r="A5" s="46" t="s">
        <v>78</v>
      </c>
      <c r="B5" s="71">
        <v>0</v>
      </c>
      <c r="C5" s="35"/>
      <c r="D5" s="36" t="s">
        <v>110</v>
      </c>
      <c r="E5" s="75">
        <v>0</v>
      </c>
      <c r="F5" s="101" t="s">
        <v>200</v>
      </c>
      <c r="G5" s="44"/>
      <c r="J5" s="39">
        <f>SUM(E4:E5)</f>
        <v>0</v>
      </c>
      <c r="K5" s="113">
        <f>SUM('Tax (Old Regime)'!N23:O29)</f>
        <v>0</v>
      </c>
      <c r="M5" s="44"/>
      <c r="N5" s="45"/>
      <c r="O5" s="45"/>
      <c r="P5" s="45"/>
      <c r="Q5" s="45"/>
      <c r="R5" s="45"/>
      <c r="S5" s="45"/>
      <c r="T5" s="111">
        <v>6</v>
      </c>
      <c r="U5" s="110">
        <f>GA55A!D11</f>
        <v>65000</v>
      </c>
      <c r="V5" s="110">
        <f>GA55A!H11</f>
        <v>27300</v>
      </c>
      <c r="W5" s="110">
        <f>GA55A!I11</f>
        <v>5850</v>
      </c>
      <c r="DS5" s="2"/>
    </row>
    <row r="6" spans="1:123" ht="17.25" customHeight="1" x14ac:dyDescent="0.25">
      <c r="A6" s="48" t="s">
        <v>79</v>
      </c>
      <c r="B6" s="72">
        <v>0</v>
      </c>
      <c r="C6" s="35"/>
      <c r="D6" s="29" t="s">
        <v>125</v>
      </c>
      <c r="E6" s="74">
        <v>0</v>
      </c>
      <c r="F6" s="103" t="s">
        <v>141</v>
      </c>
      <c r="G6" s="44"/>
      <c r="H6" s="38"/>
      <c r="J6" s="39">
        <f>SUM(E4:E6)</f>
        <v>0</v>
      </c>
      <c r="K6" s="113">
        <f>'Tax (Old Regime)'!P32</f>
        <v>0</v>
      </c>
      <c r="M6" s="44"/>
      <c r="N6" s="45"/>
      <c r="O6" s="45"/>
      <c r="P6" s="45"/>
      <c r="Q6" s="45"/>
      <c r="R6" s="45"/>
      <c r="S6" s="45"/>
      <c r="T6" s="111">
        <v>7</v>
      </c>
      <c r="U6" s="110">
        <f>GA55A!D12</f>
        <v>67000</v>
      </c>
      <c r="V6" s="110">
        <f>GA55A!H12</f>
        <v>28140</v>
      </c>
      <c r="W6" s="110">
        <f>GA55A!I12</f>
        <v>6030</v>
      </c>
      <c r="DS6" s="2"/>
    </row>
    <row r="7" spans="1:123" ht="15" customHeight="1" x14ac:dyDescent="0.3">
      <c r="A7" s="46" t="s">
        <v>80</v>
      </c>
      <c r="B7" s="71">
        <v>0</v>
      </c>
      <c r="C7" s="35"/>
      <c r="D7" s="37" t="s">
        <v>113</v>
      </c>
      <c r="E7" s="75">
        <v>0</v>
      </c>
      <c r="F7" s="102">
        <f>'Tax (Old Regime)'!P61</f>
        <v>143295</v>
      </c>
      <c r="G7" s="99" t="s">
        <v>197</v>
      </c>
      <c r="H7" s="190">
        <f>IF(K7-150001&lt;0,0,IF(K7-150000&lt;50000,K7-150000,50000))</f>
        <v>27198</v>
      </c>
      <c r="K7" s="188">
        <f>SUM(K4:K6)</f>
        <v>177198</v>
      </c>
      <c r="M7" s="44"/>
      <c r="N7" s="45"/>
      <c r="O7" s="76"/>
      <c r="P7" s="77" t="s">
        <v>167</v>
      </c>
      <c r="Q7" s="77" t="s">
        <v>168</v>
      </c>
      <c r="R7" s="77" t="s">
        <v>52</v>
      </c>
      <c r="S7" s="45"/>
      <c r="T7" s="111">
        <v>8</v>
      </c>
      <c r="U7" s="110">
        <f>GA55A!D13</f>
        <v>67000</v>
      </c>
      <c r="V7" s="110">
        <f>GA55A!H13</f>
        <v>28140</v>
      </c>
      <c r="W7" s="110">
        <f>GA55A!I13</f>
        <v>6030</v>
      </c>
      <c r="DS7" s="2"/>
    </row>
    <row r="8" spans="1:123" ht="15" customHeight="1" x14ac:dyDescent="0.3">
      <c r="A8" s="49" t="s">
        <v>159</v>
      </c>
      <c r="B8" s="73">
        <v>0</v>
      </c>
      <c r="C8" s="35"/>
      <c r="D8" s="30" t="s">
        <v>114</v>
      </c>
      <c r="E8" s="74">
        <v>0</v>
      </c>
      <c r="F8" s="103" t="s">
        <v>171</v>
      </c>
      <c r="G8" s="99" t="s">
        <v>198</v>
      </c>
      <c r="H8" s="38"/>
      <c r="M8" s="44"/>
      <c r="N8" s="45"/>
      <c r="O8" s="78">
        <v>1</v>
      </c>
      <c r="P8" s="79">
        <f>GA55A!D8</f>
        <v>65000</v>
      </c>
      <c r="Q8" s="79">
        <f>GA55A!H8</f>
        <v>24700</v>
      </c>
      <c r="R8" s="79">
        <f>SUM(P8:Q8)</f>
        <v>89700</v>
      </c>
      <c r="S8" s="45"/>
      <c r="T8" s="111">
        <v>9</v>
      </c>
      <c r="U8" s="110">
        <f>GA55A!D14</f>
        <v>67000</v>
      </c>
      <c r="V8" s="110">
        <f>GA55A!H14</f>
        <v>28140</v>
      </c>
      <c r="W8" s="110">
        <f>GA55A!I14</f>
        <v>6030</v>
      </c>
      <c r="DS8" s="2"/>
    </row>
    <row r="9" spans="1:123" ht="15" customHeight="1" x14ac:dyDescent="0.3">
      <c r="A9" s="46" t="s">
        <v>160</v>
      </c>
      <c r="B9" s="71">
        <v>0</v>
      </c>
      <c r="C9" s="35"/>
      <c r="D9" s="34" t="s">
        <v>337</v>
      </c>
      <c r="E9" s="199">
        <v>0</v>
      </c>
      <c r="F9" s="102">
        <f>'Tax (New Regime)'!P52</f>
        <v>100730</v>
      </c>
      <c r="G9" s="99" t="s">
        <v>199</v>
      </c>
      <c r="H9" s="38"/>
      <c r="I9" s="69">
        <f>IF(J9&gt;K9,K9,J9)</f>
        <v>0</v>
      </c>
      <c r="J9" s="70">
        <f>IF(Master!B11="No",0,ROUND(10%*GA55A!N28,0))</f>
        <v>0</v>
      </c>
      <c r="K9" s="70">
        <f>IF(Master!B11="No",0,GA55A!O28)</f>
        <v>0</v>
      </c>
      <c r="M9" s="44"/>
      <c r="N9" s="45"/>
      <c r="O9" s="78">
        <v>2</v>
      </c>
      <c r="P9" s="79">
        <f>GA55A!D9</f>
        <v>65000</v>
      </c>
      <c r="Q9" s="79">
        <f>GA55A!H9</f>
        <v>27300</v>
      </c>
      <c r="R9" s="79">
        <f t="shared" ref="R9:R19" si="0">SUM(P9:Q9)</f>
        <v>92300</v>
      </c>
      <c r="S9" s="45"/>
      <c r="T9" s="111">
        <v>10</v>
      </c>
      <c r="U9" s="110">
        <f>GA55A!D15</f>
        <v>67000</v>
      </c>
      <c r="V9" s="110">
        <f>GA55A!H15</f>
        <v>28140</v>
      </c>
      <c r="W9" s="110">
        <f>GA55A!I15</f>
        <v>6030</v>
      </c>
      <c r="DS9" s="2"/>
    </row>
    <row r="10" spans="1:123" ht="15" customHeight="1" x14ac:dyDescent="0.3">
      <c r="A10" s="49" t="s">
        <v>81</v>
      </c>
      <c r="B10" s="73">
        <v>0</v>
      </c>
      <c r="C10" s="35"/>
      <c r="D10" s="30" t="s">
        <v>115</v>
      </c>
      <c r="E10" s="74">
        <v>0</v>
      </c>
      <c r="F10" s="104" t="s">
        <v>57</v>
      </c>
      <c r="G10" s="98"/>
      <c r="H10" s="189">
        <f>IF(Master!B11="NO",50000,H7)</f>
        <v>50000</v>
      </c>
      <c r="I10" s="69"/>
      <c r="J10" s="69">
        <f>SUM('Tax (Old Regime)'!I21:I30,'Tax (Old Regime)'!O21:O29)</f>
        <v>0</v>
      </c>
      <c r="K10" s="69"/>
      <c r="M10" s="44"/>
      <c r="N10" s="45"/>
      <c r="O10" s="78">
        <v>3</v>
      </c>
      <c r="P10" s="79">
        <f>GA55A!D10</f>
        <v>65000</v>
      </c>
      <c r="Q10" s="79">
        <f>GA55A!H10</f>
        <v>27300</v>
      </c>
      <c r="R10" s="79">
        <f t="shared" si="0"/>
        <v>92300</v>
      </c>
      <c r="S10" s="45"/>
      <c r="T10" s="111">
        <v>11</v>
      </c>
      <c r="U10" s="110">
        <f>GA55A!D16</f>
        <v>67000</v>
      </c>
      <c r="V10" s="110">
        <f>GA55A!H16</f>
        <v>30820</v>
      </c>
      <c r="W10" s="110">
        <f>GA55A!I16</f>
        <v>6030</v>
      </c>
      <c r="DS10" s="2" t="s">
        <v>16</v>
      </c>
    </row>
    <row r="11" spans="1:123" ht="15" customHeight="1" x14ac:dyDescent="0.25">
      <c r="A11" s="46" t="s">
        <v>82</v>
      </c>
      <c r="B11" s="71">
        <v>0</v>
      </c>
      <c r="C11" s="35"/>
      <c r="D11" s="34" t="s">
        <v>120</v>
      </c>
      <c r="E11" s="75">
        <v>0</v>
      </c>
      <c r="F11" s="102">
        <f>GA55A!V28</f>
        <v>96000</v>
      </c>
      <c r="G11" s="44"/>
      <c r="H11" s="68"/>
      <c r="I11" s="69">
        <f>IF(Master!B15="No",25000,50000)</f>
        <v>25000</v>
      </c>
      <c r="J11" s="69"/>
      <c r="K11" s="69"/>
      <c r="M11" s="44"/>
      <c r="N11" s="45"/>
      <c r="O11" s="78">
        <v>4</v>
      </c>
      <c r="P11" s="79">
        <f>GA55A!D11</f>
        <v>65000</v>
      </c>
      <c r="Q11" s="79">
        <f>GA55A!H11</f>
        <v>27300</v>
      </c>
      <c r="R11" s="79">
        <f t="shared" si="0"/>
        <v>92300</v>
      </c>
      <c r="S11" s="45"/>
      <c r="T11" s="111">
        <v>12</v>
      </c>
      <c r="U11" s="110">
        <f>GA55A!D17</f>
        <v>67000</v>
      </c>
      <c r="V11" s="110">
        <f>GA55A!H17</f>
        <v>30820</v>
      </c>
      <c r="W11" s="110">
        <f>GA55A!I17</f>
        <v>6030</v>
      </c>
      <c r="DS11" s="2" t="s">
        <v>18</v>
      </c>
    </row>
    <row r="12" spans="1:123" ht="15" customHeight="1" x14ac:dyDescent="0.25">
      <c r="A12" s="49" t="s">
        <v>83</v>
      </c>
      <c r="B12" s="73">
        <v>0</v>
      </c>
      <c r="C12" s="35"/>
      <c r="D12" s="30" t="s">
        <v>116</v>
      </c>
      <c r="E12" s="74">
        <v>0</v>
      </c>
      <c r="F12" s="314" t="s">
        <v>166</v>
      </c>
      <c r="G12" s="44"/>
      <c r="H12" s="68"/>
      <c r="I12" s="69"/>
      <c r="J12" s="69"/>
      <c r="K12" s="69"/>
      <c r="M12" s="44"/>
      <c r="N12" s="45"/>
      <c r="O12" s="78">
        <v>5</v>
      </c>
      <c r="P12" s="79">
        <f>GA55A!D12</f>
        <v>67000</v>
      </c>
      <c r="Q12" s="79">
        <f>GA55A!H12</f>
        <v>28140</v>
      </c>
      <c r="R12" s="79">
        <f t="shared" si="0"/>
        <v>95140</v>
      </c>
      <c r="S12" s="45"/>
      <c r="T12" s="111">
        <v>1</v>
      </c>
      <c r="U12" s="110">
        <f>GA55A!D18</f>
        <v>67000</v>
      </c>
      <c r="V12" s="110">
        <f>GA55A!H18</f>
        <v>30820</v>
      </c>
      <c r="W12" s="110">
        <f>GA55A!I18</f>
        <v>6030</v>
      </c>
      <c r="DS12" s="2" t="s">
        <v>4</v>
      </c>
    </row>
    <row r="13" spans="1:123" ht="15" customHeight="1" x14ac:dyDescent="0.25">
      <c r="A13" s="46" t="s">
        <v>84</v>
      </c>
      <c r="B13" s="71">
        <v>0</v>
      </c>
      <c r="C13" s="35"/>
      <c r="D13" s="34" t="s">
        <v>117</v>
      </c>
      <c r="E13" s="75">
        <v>0</v>
      </c>
      <c r="F13" s="315"/>
      <c r="G13" s="44"/>
      <c r="H13" s="68"/>
      <c r="I13" s="69">
        <f>IF(Master!B15="No",40000,100000)</f>
        <v>40000</v>
      </c>
      <c r="J13" s="69"/>
      <c r="K13" s="69"/>
      <c r="M13" s="44"/>
      <c r="N13" s="45"/>
      <c r="O13" s="78">
        <v>6</v>
      </c>
      <c r="P13" s="79">
        <f>GA55A!D13</f>
        <v>67000</v>
      </c>
      <c r="Q13" s="79">
        <f>GA55A!H13</f>
        <v>28140</v>
      </c>
      <c r="R13" s="79">
        <f t="shared" si="0"/>
        <v>95140</v>
      </c>
      <c r="S13" s="45"/>
      <c r="T13" s="111">
        <v>2</v>
      </c>
      <c r="U13" s="110">
        <f>GA55A!D19</f>
        <v>67000</v>
      </c>
      <c r="V13" s="110">
        <f>GA55A!H19</f>
        <v>30820</v>
      </c>
      <c r="W13" s="110">
        <f>GA55A!I19</f>
        <v>6030</v>
      </c>
      <c r="DS13" s="2"/>
    </row>
    <row r="14" spans="1:123" ht="15" customHeight="1" x14ac:dyDescent="0.25">
      <c r="A14" s="49" t="s">
        <v>85</v>
      </c>
      <c r="B14" s="73">
        <v>0</v>
      </c>
      <c r="C14" s="35"/>
      <c r="D14" s="30" t="s">
        <v>119</v>
      </c>
      <c r="E14" s="74">
        <v>0</v>
      </c>
      <c r="F14" s="315"/>
      <c r="G14" s="44"/>
      <c r="H14" s="68"/>
      <c r="I14" s="69"/>
      <c r="J14" s="69"/>
      <c r="K14" s="69"/>
      <c r="M14" s="44"/>
      <c r="N14" s="45"/>
      <c r="O14" s="78">
        <v>7</v>
      </c>
      <c r="P14" s="79">
        <f>GA55A!D14</f>
        <v>67000</v>
      </c>
      <c r="Q14" s="79">
        <f>GA55A!H14</f>
        <v>28140</v>
      </c>
      <c r="R14" s="79">
        <f t="shared" si="0"/>
        <v>95140</v>
      </c>
      <c r="S14" s="45"/>
      <c r="T14" s="111"/>
      <c r="U14" s="113">
        <f>SUM(U2:U13)</f>
        <v>796000</v>
      </c>
      <c r="V14" s="113">
        <f t="shared" ref="V14:W14" si="1">SUM(V2:V13)</f>
        <v>342440</v>
      </c>
      <c r="W14" s="113">
        <f t="shared" si="1"/>
        <v>71640</v>
      </c>
      <c r="DS14" s="2" t="s">
        <v>0</v>
      </c>
    </row>
    <row r="15" spans="1:123" ht="15" customHeight="1" x14ac:dyDescent="0.25">
      <c r="A15" s="46" t="s">
        <v>86</v>
      </c>
      <c r="B15" s="71">
        <v>0</v>
      </c>
      <c r="C15" s="35"/>
      <c r="D15" s="34" t="s">
        <v>118</v>
      </c>
      <c r="E15" s="75">
        <f>GA55A!X28</f>
        <v>0</v>
      </c>
      <c r="F15" s="105">
        <f>'Tax (Old Regime)'!P31</f>
        <v>150000</v>
      </c>
      <c r="G15" s="44"/>
      <c r="H15" s="68"/>
      <c r="I15" s="69"/>
      <c r="J15" s="69"/>
      <c r="K15" s="69"/>
      <c r="M15" s="44"/>
      <c r="N15" s="45"/>
      <c r="O15" s="78">
        <v>8</v>
      </c>
      <c r="P15" s="79">
        <f>GA55A!D15</f>
        <v>67000</v>
      </c>
      <c r="Q15" s="79">
        <f>GA55A!H15</f>
        <v>28140</v>
      </c>
      <c r="R15" s="79">
        <f t="shared" si="0"/>
        <v>95140</v>
      </c>
      <c r="S15" s="45"/>
      <c r="DS15" s="2" t="s">
        <v>18</v>
      </c>
    </row>
    <row r="16" spans="1:123" ht="15" customHeight="1" x14ac:dyDescent="0.25">
      <c r="A16" s="49" t="s">
        <v>87</v>
      </c>
      <c r="B16" s="73">
        <v>0</v>
      </c>
      <c r="C16" s="35"/>
      <c r="D16" s="30" t="s">
        <v>121</v>
      </c>
      <c r="E16" s="74">
        <v>0</v>
      </c>
      <c r="F16" s="312" t="s">
        <v>8</v>
      </c>
      <c r="G16" s="44"/>
      <c r="H16" s="68"/>
      <c r="I16" s="69"/>
      <c r="J16" s="69"/>
      <c r="K16" s="69"/>
      <c r="M16" s="44"/>
      <c r="N16" s="45"/>
      <c r="O16" s="78">
        <v>9</v>
      </c>
      <c r="P16" s="79">
        <f>GA55A!D16</f>
        <v>67000</v>
      </c>
      <c r="Q16" s="79">
        <f>GA55A!H16</f>
        <v>30820</v>
      </c>
      <c r="R16" s="79">
        <f t="shared" si="0"/>
        <v>97820</v>
      </c>
      <c r="S16" s="45"/>
      <c r="T16" s="107" t="s">
        <v>197</v>
      </c>
      <c r="U16" s="114">
        <f>U14+V14</f>
        <v>1138440</v>
      </c>
      <c r="DS16" s="2" t="s">
        <v>19</v>
      </c>
    </row>
    <row r="17" spans="1:123" ht="15" customHeight="1" x14ac:dyDescent="0.25">
      <c r="A17" s="46" t="s">
        <v>124</v>
      </c>
      <c r="B17" s="71">
        <v>0</v>
      </c>
      <c r="C17" s="35"/>
      <c r="D17" s="34" t="s">
        <v>336</v>
      </c>
      <c r="E17" s="75">
        <v>0</v>
      </c>
      <c r="F17" s="313"/>
      <c r="G17" s="44"/>
      <c r="H17" s="68"/>
      <c r="I17" s="69"/>
      <c r="J17" s="69"/>
      <c r="K17" s="69"/>
      <c r="M17" s="44"/>
      <c r="N17" s="45"/>
      <c r="O17" s="78">
        <v>10</v>
      </c>
      <c r="P17" s="79">
        <f>GA55A!D17</f>
        <v>67000</v>
      </c>
      <c r="Q17" s="79">
        <f>GA55A!H17</f>
        <v>30820</v>
      </c>
      <c r="R17" s="79">
        <f t="shared" si="0"/>
        <v>97820</v>
      </c>
      <c r="S17" s="45"/>
      <c r="DS17" s="2" t="s">
        <v>5</v>
      </c>
    </row>
    <row r="18" spans="1:123" ht="15" customHeight="1" x14ac:dyDescent="0.25">
      <c r="A18" s="49" t="s">
        <v>102</v>
      </c>
      <c r="B18" s="73">
        <v>0</v>
      </c>
      <c r="C18" s="35"/>
      <c r="D18" s="30" t="s">
        <v>122</v>
      </c>
      <c r="E18" s="74">
        <v>0</v>
      </c>
      <c r="F18" s="313"/>
      <c r="G18" s="44"/>
      <c r="H18" s="68"/>
      <c r="I18" s="69">
        <f>R21</f>
        <v>113844</v>
      </c>
      <c r="J18" s="69"/>
      <c r="K18" s="69"/>
      <c r="M18" s="44"/>
      <c r="N18" s="45"/>
      <c r="O18" s="78">
        <v>11</v>
      </c>
      <c r="P18" s="79">
        <f>GA55A!D18</f>
        <v>67000</v>
      </c>
      <c r="Q18" s="79">
        <f>GA55A!H18</f>
        <v>30820</v>
      </c>
      <c r="R18" s="79">
        <f t="shared" si="0"/>
        <v>97820</v>
      </c>
      <c r="S18" s="45"/>
      <c r="T18" s="107">
        <v>0.1</v>
      </c>
      <c r="U18" s="114">
        <f>ROUND(U16*10%,0)</f>
        <v>113844</v>
      </c>
      <c r="DS18" s="2"/>
    </row>
    <row r="19" spans="1:123" ht="15" customHeight="1" x14ac:dyDescent="0.25">
      <c r="A19" s="46" t="s">
        <v>107</v>
      </c>
      <c r="B19" s="71">
        <v>0</v>
      </c>
      <c r="C19" s="35"/>
      <c r="D19" s="34" t="s">
        <v>123</v>
      </c>
      <c r="E19" s="75">
        <v>0</v>
      </c>
      <c r="F19" s="311">
        <f>IF(B3=0,0,I18+B3)</f>
        <v>0</v>
      </c>
      <c r="G19" s="44"/>
      <c r="H19" s="68"/>
      <c r="I19" s="69"/>
      <c r="J19" s="69"/>
      <c r="K19" s="69"/>
      <c r="M19" s="44"/>
      <c r="N19" s="45"/>
      <c r="O19" s="78">
        <v>12</v>
      </c>
      <c r="P19" s="79">
        <f>GA55A!D19</f>
        <v>67000</v>
      </c>
      <c r="Q19" s="79">
        <f>GA55A!H19</f>
        <v>30820</v>
      </c>
      <c r="R19" s="79">
        <f t="shared" si="0"/>
        <v>97820</v>
      </c>
      <c r="S19" s="45"/>
      <c r="T19" s="107">
        <v>0.4</v>
      </c>
      <c r="U19" s="114">
        <f>ROUND(U16*40%,0)</f>
        <v>455376</v>
      </c>
      <c r="DS19" s="2"/>
    </row>
    <row r="20" spans="1:123" ht="15" customHeight="1" x14ac:dyDescent="0.25">
      <c r="A20" s="49" t="s">
        <v>108</v>
      </c>
      <c r="B20" s="73">
        <v>0</v>
      </c>
      <c r="C20" s="35"/>
      <c r="D20" s="30" t="s">
        <v>126</v>
      </c>
      <c r="E20" s="74">
        <v>0</v>
      </c>
      <c r="F20" s="311"/>
      <c r="G20" s="44"/>
      <c r="H20" s="68"/>
      <c r="I20" s="69"/>
      <c r="J20" s="69"/>
      <c r="K20" s="69"/>
      <c r="M20" s="44"/>
      <c r="N20" s="45"/>
      <c r="O20" s="76"/>
      <c r="P20" s="76"/>
      <c r="Q20" s="76"/>
      <c r="R20" s="80">
        <f>SUM(R8:R19)</f>
        <v>1138440</v>
      </c>
      <c r="S20" s="45"/>
      <c r="T20" s="108"/>
      <c r="DS20" s="2" t="s">
        <v>20</v>
      </c>
    </row>
    <row r="21" spans="1:123" ht="19.5" customHeight="1" x14ac:dyDescent="0.25">
      <c r="A21" s="309" t="str">
        <f>'Tax (Old Regime)'!B64</f>
        <v>Income Tax Payable (Old Tax Regime)</v>
      </c>
      <c r="B21" s="310"/>
      <c r="C21" s="146"/>
      <c r="D21" s="147">
        <f>'Tax (Old Regime)'!P64</f>
        <v>47295</v>
      </c>
      <c r="E21" s="148"/>
      <c r="F21" s="149"/>
      <c r="G21" s="44"/>
      <c r="H21" s="38"/>
      <c r="I21" s="70">
        <f>GA55A!I28</f>
        <v>71640</v>
      </c>
      <c r="J21" s="69"/>
      <c r="K21" s="69"/>
      <c r="M21" s="44"/>
      <c r="N21" s="45"/>
      <c r="O21" s="45"/>
      <c r="P21" s="45"/>
      <c r="Q21" s="45"/>
      <c r="R21" s="81">
        <f>ROUND(R20*10%,0)</f>
        <v>113844</v>
      </c>
      <c r="S21" s="45"/>
      <c r="DS21" s="2" t="s">
        <v>7</v>
      </c>
    </row>
    <row r="22" spans="1:123" ht="19.5" customHeight="1" x14ac:dyDescent="0.25">
      <c r="A22" s="307" t="str">
        <f>"Total Rebate of (US 80C, 80CCC,80CCD(1)) =  "&amp;'Tax (Old Regime)'!N30</f>
        <v>Total Rebate of (US 80C, 80CCC,80CCD(1)) =  177198</v>
      </c>
      <c r="B22" s="308"/>
      <c r="C22" s="150"/>
      <c r="D22" s="151" t="str">
        <f>"Investable Amount = "&amp;(150000-'Tax (Old Regime)'!P31)</f>
        <v>Investable Amount = 0</v>
      </c>
      <c r="E22" s="152"/>
      <c r="F22" s="153"/>
      <c r="G22" s="44"/>
      <c r="H22" s="38"/>
      <c r="M22" s="44"/>
      <c r="N22" s="45"/>
      <c r="O22" s="45"/>
      <c r="P22" s="45"/>
      <c r="Q22" s="45"/>
      <c r="R22" s="45"/>
      <c r="S22" s="45"/>
      <c r="DS22" s="2" t="s">
        <v>17</v>
      </c>
    </row>
    <row r="23" spans="1:123" ht="48" hidden="1" customHeight="1" x14ac:dyDescent="0.25">
      <c r="A23" s="299" t="s">
        <v>74</v>
      </c>
      <c r="B23" s="300"/>
      <c r="C23" s="300"/>
      <c r="D23" s="300"/>
      <c r="E23" s="300"/>
      <c r="F23" s="300"/>
      <c r="G23" s="44"/>
      <c r="H23" s="38"/>
      <c r="M23" s="44"/>
      <c r="N23" s="45"/>
      <c r="O23" s="45"/>
      <c r="P23" s="45"/>
      <c r="Q23" s="45"/>
      <c r="R23" s="45"/>
      <c r="S23" s="45"/>
    </row>
    <row r="24" spans="1:123" ht="39.75" customHeight="1" x14ac:dyDescent="0.25">
      <c r="A24" s="296" t="s">
        <v>205</v>
      </c>
      <c r="B24" s="297"/>
      <c r="C24" s="297"/>
      <c r="D24" s="298"/>
      <c r="E24" s="136"/>
      <c r="F24" s="137"/>
      <c r="G24" s="44"/>
      <c r="H24" s="38"/>
      <c r="M24" s="44"/>
      <c r="N24" s="45"/>
      <c r="O24" s="45"/>
      <c r="P24" s="45"/>
      <c r="Q24" s="45"/>
      <c r="R24" s="45"/>
      <c r="S24" s="45"/>
    </row>
    <row r="25" spans="1:123" ht="17.25" customHeight="1" x14ac:dyDescent="0.3">
      <c r="A25" s="295" t="s">
        <v>208</v>
      </c>
      <c r="B25" s="295"/>
      <c r="D25" s="154">
        <f>U14</f>
        <v>796000</v>
      </c>
      <c r="E25" s="138"/>
      <c r="F25" s="139"/>
      <c r="G25" s="44"/>
      <c r="H25" s="38"/>
      <c r="M25" s="44"/>
      <c r="N25" s="45"/>
      <c r="O25" s="45"/>
      <c r="P25" s="45"/>
      <c r="Q25" s="45"/>
      <c r="R25" s="45"/>
      <c r="S25" s="45"/>
      <c r="U25" s="115">
        <f>D30</f>
        <v>71640</v>
      </c>
    </row>
    <row r="26" spans="1:123" ht="17.25" customHeight="1" x14ac:dyDescent="0.3">
      <c r="A26" s="295" t="s">
        <v>207</v>
      </c>
      <c r="B26" s="295"/>
      <c r="D26" s="144">
        <f>V14</f>
        <v>342440</v>
      </c>
      <c r="E26" s="138"/>
      <c r="F26" s="139"/>
      <c r="G26" s="44"/>
      <c r="H26" s="38"/>
      <c r="M26" s="44"/>
      <c r="N26" s="45"/>
      <c r="O26" s="45"/>
      <c r="P26" s="45"/>
      <c r="Q26" s="45"/>
      <c r="R26" s="45"/>
      <c r="S26" s="45"/>
      <c r="U26" s="115">
        <f>U19</f>
        <v>455376</v>
      </c>
    </row>
    <row r="27" spans="1:123" ht="17.25" customHeight="1" x14ac:dyDescent="0.3">
      <c r="A27" s="295" t="s">
        <v>206</v>
      </c>
      <c r="B27" s="295"/>
      <c r="D27" s="143">
        <v>0</v>
      </c>
      <c r="E27" s="138"/>
      <c r="F27" s="139"/>
      <c r="G27" s="44"/>
      <c r="H27" s="38"/>
      <c r="M27" s="44"/>
      <c r="N27" s="45"/>
      <c r="O27" s="45"/>
      <c r="P27" s="45"/>
      <c r="Q27" s="45"/>
      <c r="R27" s="45"/>
      <c r="S27" s="45"/>
      <c r="U27" s="116">
        <f>IF((D27-U18)&lt;0,0,(D27-U18))</f>
        <v>0</v>
      </c>
    </row>
    <row r="28" spans="1:123" ht="17.25" customHeight="1" x14ac:dyDescent="0.3">
      <c r="A28" s="293"/>
      <c r="B28" s="294"/>
      <c r="D28" s="136"/>
      <c r="E28" s="138"/>
      <c r="F28" s="139"/>
      <c r="G28" s="44"/>
      <c r="H28" s="38"/>
      <c r="U28" s="116">
        <f>MIN(U25:U27)</f>
        <v>0</v>
      </c>
    </row>
    <row r="29" spans="1:123" ht="17.25" customHeight="1" x14ac:dyDescent="0.3">
      <c r="A29" s="292" t="s">
        <v>210</v>
      </c>
      <c r="B29" s="292"/>
      <c r="D29" s="142">
        <f>U19</f>
        <v>455376</v>
      </c>
      <c r="E29" s="138"/>
      <c r="F29" s="139"/>
      <c r="G29" s="44"/>
      <c r="H29" s="38"/>
    </row>
    <row r="30" spans="1:123" ht="17.25" customHeight="1" x14ac:dyDescent="0.3">
      <c r="A30" s="292" t="s">
        <v>209</v>
      </c>
      <c r="B30" s="292"/>
      <c r="D30" s="142">
        <f>W14+GA55A!I20</f>
        <v>71640</v>
      </c>
      <c r="E30" s="138"/>
      <c r="F30" s="139"/>
      <c r="G30" s="44"/>
      <c r="H30" s="38"/>
    </row>
    <row r="31" spans="1:123" ht="17.25" customHeight="1" x14ac:dyDescent="0.3">
      <c r="A31" s="292" t="s">
        <v>211</v>
      </c>
      <c r="B31" s="292"/>
      <c r="D31" s="142">
        <f>U27</f>
        <v>0</v>
      </c>
      <c r="E31" s="138"/>
      <c r="F31" s="139"/>
      <c r="G31" s="44"/>
      <c r="H31" s="38"/>
    </row>
    <row r="32" spans="1:123" ht="17.25" customHeight="1" x14ac:dyDescent="0.25">
      <c r="A32" s="293"/>
      <c r="B32" s="294"/>
      <c r="D32" s="136"/>
      <c r="E32" s="138"/>
      <c r="F32" s="139"/>
      <c r="G32" s="44"/>
      <c r="H32" s="38"/>
    </row>
    <row r="33" spans="1:8" ht="18.75" customHeight="1" x14ac:dyDescent="0.3">
      <c r="A33" s="288" t="s">
        <v>203</v>
      </c>
      <c r="B33" s="288"/>
      <c r="C33" s="117"/>
      <c r="D33" s="145">
        <f>U28</f>
        <v>0</v>
      </c>
      <c r="E33" s="138"/>
      <c r="F33" s="139"/>
      <c r="G33" s="44"/>
      <c r="H33" s="38"/>
    </row>
    <row r="34" spans="1:8" ht="18.75" customHeight="1" x14ac:dyDescent="0.3">
      <c r="A34" s="288" t="s">
        <v>204</v>
      </c>
      <c r="B34" s="288"/>
      <c r="C34" s="118"/>
      <c r="D34" s="145">
        <f>D30-D33</f>
        <v>71640</v>
      </c>
      <c r="E34" s="138"/>
      <c r="F34" s="139"/>
      <c r="G34" s="44"/>
      <c r="H34" s="38"/>
    </row>
    <row r="35" spans="1:8" ht="50.25" customHeight="1" x14ac:dyDescent="0.25">
      <c r="A35" s="289" t="s">
        <v>291</v>
      </c>
      <c r="B35" s="290"/>
      <c r="C35" s="290"/>
      <c r="D35" s="291"/>
      <c r="E35" s="140"/>
      <c r="F35" s="141"/>
      <c r="G35" s="44"/>
      <c r="H35" s="38"/>
    </row>
    <row r="36" spans="1:8" ht="42.75" customHeight="1" x14ac:dyDescent="0.25">
      <c r="A36" s="44"/>
      <c r="B36" s="44"/>
      <c r="C36" s="44"/>
      <c r="D36" s="44"/>
      <c r="E36" s="44"/>
      <c r="F36" s="44"/>
      <c r="G36" s="44"/>
      <c r="H36" s="38"/>
    </row>
    <row r="37" spans="1:8" hidden="1" x14ac:dyDescent="0.25">
      <c r="H37" s="38"/>
    </row>
    <row r="38" spans="1:8" hidden="1" x14ac:dyDescent="0.25">
      <c r="H38" s="38"/>
    </row>
    <row r="39" spans="1:8" hidden="1" x14ac:dyDescent="0.25">
      <c r="H39" s="38"/>
    </row>
    <row r="40" spans="1:8" hidden="1" x14ac:dyDescent="0.25">
      <c r="H40" s="38"/>
    </row>
    <row r="41" spans="1:8" hidden="1" x14ac:dyDescent="0.25">
      <c r="H41" s="38"/>
    </row>
    <row r="42" spans="1:8" hidden="1" x14ac:dyDescent="0.25">
      <c r="H42" s="38"/>
    </row>
    <row r="43" spans="1:8" hidden="1" x14ac:dyDescent="0.25">
      <c r="H43" s="38"/>
    </row>
    <row r="44" spans="1:8" hidden="1" x14ac:dyDescent="0.25">
      <c r="H44" s="38"/>
    </row>
    <row r="45" spans="1:8" hidden="1" x14ac:dyDescent="0.25">
      <c r="H45" s="38"/>
    </row>
    <row r="46" spans="1:8" hidden="1" x14ac:dyDescent="0.25">
      <c r="H46" s="38"/>
    </row>
    <row r="47" spans="1:8" hidden="1" x14ac:dyDescent="0.25">
      <c r="H47" s="38"/>
    </row>
    <row r="48" spans="1:8" hidden="1" x14ac:dyDescent="0.25">
      <c r="H48" s="38"/>
    </row>
    <row r="49" spans="8:8" hidden="1" x14ac:dyDescent="0.25">
      <c r="H49" s="38"/>
    </row>
    <row r="50" spans="8:8" hidden="1" x14ac:dyDescent="0.25">
      <c r="H50" s="38"/>
    </row>
    <row r="51" spans="8:8" hidden="1" x14ac:dyDescent="0.25">
      <c r="H51" s="38"/>
    </row>
    <row r="52" spans="8:8" hidden="1" x14ac:dyDescent="0.25">
      <c r="H52" s="38"/>
    </row>
    <row r="53" spans="8:8" hidden="1" x14ac:dyDescent="0.25">
      <c r="H53" s="38"/>
    </row>
    <row r="54" spans="8:8" hidden="1" x14ac:dyDescent="0.25">
      <c r="H54" s="38"/>
    </row>
    <row r="55" spans="8:8" hidden="1" x14ac:dyDescent="0.25">
      <c r="H55" s="38"/>
    </row>
    <row r="56" spans="8:8" hidden="1" x14ac:dyDescent="0.25">
      <c r="H56" s="38"/>
    </row>
    <row r="57" spans="8:8" hidden="1" x14ac:dyDescent="0.25">
      <c r="H57" s="38"/>
    </row>
    <row r="58" spans="8:8" hidden="1" x14ac:dyDescent="0.25">
      <c r="H58" s="38"/>
    </row>
    <row r="59" spans="8:8" hidden="1" x14ac:dyDescent="0.25">
      <c r="H59" s="38"/>
    </row>
    <row r="60" spans="8:8" hidden="1" x14ac:dyDescent="0.25">
      <c r="H60" s="38"/>
    </row>
    <row r="61" spans="8:8" hidden="1" x14ac:dyDescent="0.25">
      <c r="H61" s="38"/>
    </row>
    <row r="62" spans="8:8" hidden="1" x14ac:dyDescent="0.25">
      <c r="H62" s="38"/>
    </row>
    <row r="63" spans="8:8" hidden="1" x14ac:dyDescent="0.25">
      <c r="H63" s="38"/>
    </row>
    <row r="64" spans="8:8" hidden="1" x14ac:dyDescent="0.25">
      <c r="H64" s="38"/>
    </row>
    <row r="65" spans="8:8" hidden="1" x14ac:dyDescent="0.25">
      <c r="H65" s="38"/>
    </row>
    <row r="66" spans="8:8" hidden="1" x14ac:dyDescent="0.25">
      <c r="H66" s="38"/>
    </row>
    <row r="67" spans="8:8" hidden="1" x14ac:dyDescent="0.25">
      <c r="H67" s="38"/>
    </row>
    <row r="68" spans="8:8" hidden="1" x14ac:dyDescent="0.25">
      <c r="H68" s="38"/>
    </row>
    <row r="69" spans="8:8" hidden="1" x14ac:dyDescent="0.25">
      <c r="H69" s="38"/>
    </row>
    <row r="70" spans="8:8" hidden="1" x14ac:dyDescent="0.25">
      <c r="H70" s="38"/>
    </row>
    <row r="71" spans="8:8" hidden="1" x14ac:dyDescent="0.25">
      <c r="H71" s="38"/>
    </row>
    <row r="72" spans="8:8" hidden="1" x14ac:dyDescent="0.25">
      <c r="H72" s="38"/>
    </row>
    <row r="73" spans="8:8" hidden="1" x14ac:dyDescent="0.25">
      <c r="H73" s="38"/>
    </row>
    <row r="74" spans="8:8" hidden="1" x14ac:dyDescent="0.25">
      <c r="H74" s="38"/>
    </row>
    <row r="75" spans="8:8" hidden="1" x14ac:dyDescent="0.25">
      <c r="H75" s="38"/>
    </row>
    <row r="76" spans="8:8" hidden="1" x14ac:dyDescent="0.25">
      <c r="H76" s="38"/>
    </row>
    <row r="77" spans="8:8" hidden="1" x14ac:dyDescent="0.25">
      <c r="H77" s="38"/>
    </row>
    <row r="78" spans="8:8" hidden="1" x14ac:dyDescent="0.25">
      <c r="H78" s="38"/>
    </row>
    <row r="79" spans="8:8" hidden="1" x14ac:dyDescent="0.25">
      <c r="H79" s="38"/>
    </row>
    <row r="80" spans="8:8" hidden="1" x14ac:dyDescent="0.25">
      <c r="H80" s="38"/>
    </row>
    <row r="81" spans="8:8" hidden="1" x14ac:dyDescent="0.25">
      <c r="H81" s="38"/>
    </row>
    <row r="82" spans="8:8" hidden="1" x14ac:dyDescent="0.25">
      <c r="H82" s="38"/>
    </row>
    <row r="83" spans="8:8" hidden="1" x14ac:dyDescent="0.25">
      <c r="H83" s="38"/>
    </row>
    <row r="84" spans="8:8" hidden="1" x14ac:dyDescent="0.25">
      <c r="H84" s="38"/>
    </row>
    <row r="85" spans="8:8" hidden="1" x14ac:dyDescent="0.25">
      <c r="H85" s="38"/>
    </row>
    <row r="86" spans="8:8" hidden="1" x14ac:dyDescent="0.25">
      <c r="H86" s="38"/>
    </row>
    <row r="87" spans="8:8" hidden="1" x14ac:dyDescent="0.25">
      <c r="H87" s="38"/>
    </row>
    <row r="88" spans="8:8" hidden="1" x14ac:dyDescent="0.25">
      <c r="H88" s="38"/>
    </row>
    <row r="89" spans="8:8" hidden="1" x14ac:dyDescent="0.25">
      <c r="H89" s="38"/>
    </row>
    <row r="90" spans="8:8" hidden="1" x14ac:dyDescent="0.25">
      <c r="H90" s="38"/>
    </row>
    <row r="91" spans="8:8" hidden="1" x14ac:dyDescent="0.25">
      <c r="H91" s="38"/>
    </row>
    <row r="92" spans="8:8" hidden="1" x14ac:dyDescent="0.25">
      <c r="H92" s="38"/>
    </row>
    <row r="93" spans="8:8" hidden="1" x14ac:dyDescent="0.25">
      <c r="H93" s="38"/>
    </row>
    <row r="94" spans="8:8" hidden="1" x14ac:dyDescent="0.25">
      <c r="H94" s="38"/>
    </row>
    <row r="95" spans="8:8" hidden="1" x14ac:dyDescent="0.25">
      <c r="H95" s="38"/>
    </row>
    <row r="96" spans="8:8" hidden="1" x14ac:dyDescent="0.25">
      <c r="H96" s="38"/>
    </row>
    <row r="97" spans="8:8" hidden="1" x14ac:dyDescent="0.25">
      <c r="H97" s="38"/>
    </row>
    <row r="98" spans="8:8" hidden="1" x14ac:dyDescent="0.25">
      <c r="H98" s="38"/>
    </row>
    <row r="99" spans="8:8" hidden="1" x14ac:dyDescent="0.25">
      <c r="H99" s="38"/>
    </row>
    <row r="100" spans="8:8" hidden="1" x14ac:dyDescent="0.25">
      <c r="H100" s="38"/>
    </row>
    <row r="101" spans="8:8" hidden="1" x14ac:dyDescent="0.25">
      <c r="H101" s="38"/>
    </row>
    <row r="102" spans="8:8" hidden="1" x14ac:dyDescent="0.25">
      <c r="H102" s="38"/>
    </row>
    <row r="103" spans="8:8" hidden="1" x14ac:dyDescent="0.25">
      <c r="H103" s="38"/>
    </row>
    <row r="104" spans="8:8" hidden="1" x14ac:dyDescent="0.25">
      <c r="H104" s="38"/>
    </row>
    <row r="105" spans="8:8" hidden="1" x14ac:dyDescent="0.25">
      <c r="H105" s="38"/>
    </row>
    <row r="106" spans="8:8" hidden="1" x14ac:dyDescent="0.25">
      <c r="H106" s="38"/>
    </row>
    <row r="107" spans="8:8" hidden="1" x14ac:dyDescent="0.25">
      <c r="H107" s="38"/>
    </row>
    <row r="108" spans="8:8" hidden="1" x14ac:dyDescent="0.25">
      <c r="H108" s="38"/>
    </row>
    <row r="109" spans="8:8" hidden="1" x14ac:dyDescent="0.25">
      <c r="H109" s="38"/>
    </row>
    <row r="110" spans="8:8" hidden="1" x14ac:dyDescent="0.25">
      <c r="H110" s="38"/>
    </row>
    <row r="111" spans="8:8" hidden="1" x14ac:dyDescent="0.25">
      <c r="H111" s="38"/>
    </row>
    <row r="112" spans="8:8" hidden="1" x14ac:dyDescent="0.25">
      <c r="H112" s="38"/>
    </row>
    <row r="113" spans="8:8" hidden="1" x14ac:dyDescent="0.25">
      <c r="H113" s="38"/>
    </row>
    <row r="114" spans="8:8" hidden="1" x14ac:dyDescent="0.25">
      <c r="H114" s="38"/>
    </row>
    <row r="115" spans="8:8" hidden="1" x14ac:dyDescent="0.25">
      <c r="H115" s="38"/>
    </row>
    <row r="116" spans="8:8" hidden="1" x14ac:dyDescent="0.25">
      <c r="H116" s="38"/>
    </row>
    <row r="117" spans="8:8" hidden="1" x14ac:dyDescent="0.25">
      <c r="H117" s="38"/>
    </row>
    <row r="118" spans="8:8" hidden="1" x14ac:dyDescent="0.25">
      <c r="H118" s="38"/>
    </row>
    <row r="119" spans="8:8" hidden="1" x14ac:dyDescent="0.25">
      <c r="H119" s="38"/>
    </row>
    <row r="120" spans="8:8" hidden="1" x14ac:dyDescent="0.25">
      <c r="H120" s="38"/>
    </row>
    <row r="121" spans="8:8" hidden="1" x14ac:dyDescent="0.25">
      <c r="H121" s="38"/>
    </row>
    <row r="122" spans="8:8" hidden="1" x14ac:dyDescent="0.25">
      <c r="H122" s="38"/>
    </row>
    <row r="123" spans="8:8" hidden="1" x14ac:dyDescent="0.25">
      <c r="H123" s="38"/>
    </row>
    <row r="124" spans="8:8" hidden="1" x14ac:dyDescent="0.25">
      <c r="H124" s="38"/>
    </row>
    <row r="125" spans="8:8" hidden="1" x14ac:dyDescent="0.25">
      <c r="H125" s="38"/>
    </row>
    <row r="126" spans="8:8" hidden="1" x14ac:dyDescent="0.25">
      <c r="H126" s="38"/>
    </row>
    <row r="127" spans="8:8" hidden="1" x14ac:dyDescent="0.25">
      <c r="H127" s="38"/>
    </row>
    <row r="128" spans="8:8" hidden="1" x14ac:dyDescent="0.25">
      <c r="H128" s="38"/>
    </row>
    <row r="129" spans="8:8" hidden="1" x14ac:dyDescent="0.25">
      <c r="H129" s="38"/>
    </row>
    <row r="130" spans="8:8" hidden="1" x14ac:dyDescent="0.25">
      <c r="H130" s="38"/>
    </row>
    <row r="131" spans="8:8" hidden="1" x14ac:dyDescent="0.25">
      <c r="H131" s="38"/>
    </row>
    <row r="132" spans="8:8" hidden="1" x14ac:dyDescent="0.25">
      <c r="H132" s="38"/>
    </row>
    <row r="133" spans="8:8" hidden="1" x14ac:dyDescent="0.25">
      <c r="H133" s="38"/>
    </row>
    <row r="134" spans="8:8" hidden="1" x14ac:dyDescent="0.25">
      <c r="H134" s="38"/>
    </row>
    <row r="135" spans="8:8" hidden="1" x14ac:dyDescent="0.25">
      <c r="H135" s="38"/>
    </row>
    <row r="136" spans="8:8" hidden="1" x14ac:dyDescent="0.25">
      <c r="H136" s="38"/>
    </row>
    <row r="137" spans="8:8" hidden="1" x14ac:dyDescent="0.25">
      <c r="H137" s="38"/>
    </row>
    <row r="138" spans="8:8" hidden="1" x14ac:dyDescent="0.25">
      <c r="H138" s="38"/>
    </row>
    <row r="139" spans="8:8" hidden="1" x14ac:dyDescent="0.25">
      <c r="H139" s="38"/>
    </row>
    <row r="140" spans="8:8" hidden="1" x14ac:dyDescent="0.25">
      <c r="H140" s="38"/>
    </row>
    <row r="141" spans="8:8" hidden="1" x14ac:dyDescent="0.25">
      <c r="H141" s="38"/>
    </row>
    <row r="142" spans="8:8" hidden="1" x14ac:dyDescent="0.25">
      <c r="H142" s="38"/>
    </row>
    <row r="143" spans="8:8" hidden="1" x14ac:dyDescent="0.25">
      <c r="H143" s="38"/>
    </row>
    <row r="144" spans="8:8" hidden="1" x14ac:dyDescent="0.25">
      <c r="H144" s="38"/>
    </row>
    <row r="145" spans="8:8" hidden="1" x14ac:dyDescent="0.25">
      <c r="H145" s="38"/>
    </row>
    <row r="146" spans="8:8" hidden="1" x14ac:dyDescent="0.25">
      <c r="H146" s="38"/>
    </row>
    <row r="147" spans="8:8" hidden="1" x14ac:dyDescent="0.25">
      <c r="H147" s="38"/>
    </row>
    <row r="148" spans="8:8" hidden="1" x14ac:dyDescent="0.25">
      <c r="H148" s="38"/>
    </row>
    <row r="149" spans="8:8" hidden="1" x14ac:dyDescent="0.25">
      <c r="H149" s="38"/>
    </row>
    <row r="150" spans="8:8" hidden="1" x14ac:dyDescent="0.25">
      <c r="H150" s="38"/>
    </row>
    <row r="151" spans="8:8" hidden="1" x14ac:dyDescent="0.25">
      <c r="H151" s="38"/>
    </row>
    <row r="152" spans="8:8" hidden="1" x14ac:dyDescent="0.25">
      <c r="H152" s="38"/>
    </row>
    <row r="153" spans="8:8" hidden="1" x14ac:dyDescent="0.25">
      <c r="H153" s="38"/>
    </row>
    <row r="154" spans="8:8" hidden="1" x14ac:dyDescent="0.25">
      <c r="H154" s="38"/>
    </row>
    <row r="155" spans="8:8" hidden="1" x14ac:dyDescent="0.25">
      <c r="H155" s="38"/>
    </row>
    <row r="156" spans="8:8" hidden="1" x14ac:dyDescent="0.25">
      <c r="H156" s="38"/>
    </row>
    <row r="157" spans="8:8" hidden="1" x14ac:dyDescent="0.25">
      <c r="H157" s="38"/>
    </row>
    <row r="158" spans="8:8" hidden="1" x14ac:dyDescent="0.25">
      <c r="H158" s="38"/>
    </row>
    <row r="159" spans="8:8" hidden="1" x14ac:dyDescent="0.25">
      <c r="H159" s="38"/>
    </row>
    <row r="160" spans="8:8" hidden="1" x14ac:dyDescent="0.25">
      <c r="H160" s="38"/>
    </row>
    <row r="161" spans="8:8" hidden="1" x14ac:dyDescent="0.25">
      <c r="H161" s="38"/>
    </row>
    <row r="162" spans="8:8" hidden="1" x14ac:dyDescent="0.25">
      <c r="H162" s="38"/>
    </row>
    <row r="163" spans="8:8" hidden="1" x14ac:dyDescent="0.25">
      <c r="H163" s="38"/>
    </row>
    <row r="164" spans="8:8" hidden="1" x14ac:dyDescent="0.25">
      <c r="H164" s="38"/>
    </row>
    <row r="165" spans="8:8" hidden="1" x14ac:dyDescent="0.25">
      <c r="H165" s="38"/>
    </row>
    <row r="166" spans="8:8" hidden="1" x14ac:dyDescent="0.25">
      <c r="H166" s="38"/>
    </row>
    <row r="167" spans="8:8" hidden="1" x14ac:dyDescent="0.25">
      <c r="H167" s="38"/>
    </row>
    <row r="168" spans="8:8" hidden="1" x14ac:dyDescent="0.25">
      <c r="H168" s="38"/>
    </row>
    <row r="169" spans="8:8" hidden="1" x14ac:dyDescent="0.25">
      <c r="H169" s="38"/>
    </row>
    <row r="170" spans="8:8" hidden="1" x14ac:dyDescent="0.25">
      <c r="H170" s="38"/>
    </row>
    <row r="171" spans="8:8" hidden="1" x14ac:dyDescent="0.25">
      <c r="H171" s="38"/>
    </row>
    <row r="172" spans="8:8" hidden="1" x14ac:dyDescent="0.25">
      <c r="H172" s="38"/>
    </row>
    <row r="173" spans="8:8" hidden="1" x14ac:dyDescent="0.25">
      <c r="H173" s="38"/>
    </row>
    <row r="174" spans="8:8" hidden="1" x14ac:dyDescent="0.25">
      <c r="H174" s="38"/>
    </row>
    <row r="175" spans="8:8" hidden="1" x14ac:dyDescent="0.25">
      <c r="H175" s="38"/>
    </row>
    <row r="176" spans="8:8" hidden="1" x14ac:dyDescent="0.25">
      <c r="H176" s="38"/>
    </row>
    <row r="177" spans="8:8" hidden="1" x14ac:dyDescent="0.25">
      <c r="H177" s="38"/>
    </row>
    <row r="178" spans="8:8" hidden="1" x14ac:dyDescent="0.25">
      <c r="H178" s="38"/>
    </row>
    <row r="179" spans="8:8" hidden="1" x14ac:dyDescent="0.25">
      <c r="H179" s="38"/>
    </row>
    <row r="180" spans="8:8" hidden="1" x14ac:dyDescent="0.25">
      <c r="H180" s="38"/>
    </row>
    <row r="181" spans="8:8" hidden="1" x14ac:dyDescent="0.25">
      <c r="H181" s="38"/>
    </row>
    <row r="182" spans="8:8" hidden="1" x14ac:dyDescent="0.25">
      <c r="H182" s="38"/>
    </row>
    <row r="183" spans="8:8" hidden="1" x14ac:dyDescent="0.25">
      <c r="H183" s="38"/>
    </row>
    <row r="184" spans="8:8" hidden="1" x14ac:dyDescent="0.25">
      <c r="H184" s="38"/>
    </row>
    <row r="185" spans="8:8" hidden="1" x14ac:dyDescent="0.25">
      <c r="H185" s="38"/>
    </row>
    <row r="186" spans="8:8" hidden="1" x14ac:dyDescent="0.25">
      <c r="H186" s="38"/>
    </row>
    <row r="187" spans="8:8" hidden="1" x14ac:dyDescent="0.25">
      <c r="H187" s="38"/>
    </row>
    <row r="188" spans="8:8" hidden="1" x14ac:dyDescent="0.25">
      <c r="H188" s="38"/>
    </row>
    <row r="189" spans="8:8" hidden="1" x14ac:dyDescent="0.25">
      <c r="H189" s="38"/>
    </row>
    <row r="190" spans="8:8" hidden="1" x14ac:dyDescent="0.25">
      <c r="H190" s="38"/>
    </row>
    <row r="191" spans="8:8" hidden="1" x14ac:dyDescent="0.25">
      <c r="H191" s="38"/>
    </row>
    <row r="192" spans="8:8" hidden="1" x14ac:dyDescent="0.25">
      <c r="H192" s="38"/>
    </row>
    <row r="193" spans="8:8" hidden="1" x14ac:dyDescent="0.25">
      <c r="H193" s="38"/>
    </row>
    <row r="194" spans="8:8" hidden="1" x14ac:dyDescent="0.25">
      <c r="H194" s="38"/>
    </row>
    <row r="195" spans="8:8" hidden="1" x14ac:dyDescent="0.25">
      <c r="H195" s="38"/>
    </row>
    <row r="196" spans="8:8" hidden="1" x14ac:dyDescent="0.25">
      <c r="H196" s="38"/>
    </row>
    <row r="197" spans="8:8" hidden="1" x14ac:dyDescent="0.25">
      <c r="H197" s="38"/>
    </row>
    <row r="198" spans="8:8" hidden="1" x14ac:dyDescent="0.25">
      <c r="H198" s="38"/>
    </row>
    <row r="199" spans="8:8" hidden="1" x14ac:dyDescent="0.25">
      <c r="H199" s="38"/>
    </row>
    <row r="200" spans="8:8" hidden="1" x14ac:dyDescent="0.25">
      <c r="H200" s="38"/>
    </row>
    <row r="201" spans="8:8" hidden="1" x14ac:dyDescent="0.25">
      <c r="H201" s="38"/>
    </row>
    <row r="202" spans="8:8" hidden="1" x14ac:dyDescent="0.25">
      <c r="H202" s="38"/>
    </row>
    <row r="203" spans="8:8" hidden="1" x14ac:dyDescent="0.25">
      <c r="H203" s="38"/>
    </row>
    <row r="204" spans="8:8" hidden="1" x14ac:dyDescent="0.25">
      <c r="H204" s="38"/>
    </row>
    <row r="205" spans="8:8" hidden="1" x14ac:dyDescent="0.25">
      <c r="H205" s="38"/>
    </row>
    <row r="206" spans="8:8" hidden="1" x14ac:dyDescent="0.25">
      <c r="H206" s="38"/>
    </row>
    <row r="207" spans="8:8" hidden="1" x14ac:dyDescent="0.25">
      <c r="H207" s="38"/>
    </row>
    <row r="208" spans="8:8" hidden="1" x14ac:dyDescent="0.25">
      <c r="H208" s="38"/>
    </row>
    <row r="209" spans="8:8" hidden="1" x14ac:dyDescent="0.25">
      <c r="H209" s="38"/>
    </row>
    <row r="210" spans="8:8" hidden="1" x14ac:dyDescent="0.25">
      <c r="H210" s="38"/>
    </row>
    <row r="211" spans="8:8" hidden="1" x14ac:dyDescent="0.25">
      <c r="H211" s="38"/>
    </row>
    <row r="212" spans="8:8" hidden="1" x14ac:dyDescent="0.25">
      <c r="H212" s="38"/>
    </row>
    <row r="213" spans="8:8" hidden="1" x14ac:dyDescent="0.25">
      <c r="H213" s="38"/>
    </row>
    <row r="214" spans="8:8" hidden="1" x14ac:dyDescent="0.25">
      <c r="H214" s="38"/>
    </row>
    <row r="215" spans="8:8" hidden="1" x14ac:dyDescent="0.25">
      <c r="H215" s="38"/>
    </row>
    <row r="216" spans="8:8" hidden="1" x14ac:dyDescent="0.25">
      <c r="H216" s="38"/>
    </row>
    <row r="217" spans="8:8" hidden="1" x14ac:dyDescent="0.25">
      <c r="H217" s="38"/>
    </row>
    <row r="218" spans="8:8" hidden="1" x14ac:dyDescent="0.25">
      <c r="H218" s="38"/>
    </row>
    <row r="219" spans="8:8" hidden="1" x14ac:dyDescent="0.25">
      <c r="H219" s="38"/>
    </row>
    <row r="220" spans="8:8" hidden="1" x14ac:dyDescent="0.25">
      <c r="H220" s="38"/>
    </row>
    <row r="221" spans="8:8" hidden="1" x14ac:dyDescent="0.25">
      <c r="H221" s="38"/>
    </row>
    <row r="222" spans="8:8" hidden="1" x14ac:dyDescent="0.25">
      <c r="H222" s="38"/>
    </row>
    <row r="223" spans="8:8" hidden="1" x14ac:dyDescent="0.25">
      <c r="H223" s="38"/>
    </row>
    <row r="224" spans="8:8" hidden="1" x14ac:dyDescent="0.25">
      <c r="H224" s="38"/>
    </row>
    <row r="225" spans="8:8" hidden="1" x14ac:dyDescent="0.25">
      <c r="H225" s="38"/>
    </row>
    <row r="226" spans="8:8" hidden="1" x14ac:dyDescent="0.25">
      <c r="H226" s="38"/>
    </row>
    <row r="227" spans="8:8" hidden="1" x14ac:dyDescent="0.25">
      <c r="H227" s="38"/>
    </row>
    <row r="228" spans="8:8" hidden="1" x14ac:dyDescent="0.25">
      <c r="H228" s="38"/>
    </row>
    <row r="229" spans="8:8" hidden="1" x14ac:dyDescent="0.25">
      <c r="H229" s="38"/>
    </row>
    <row r="230" spans="8:8" hidden="1" x14ac:dyDescent="0.25">
      <c r="H230" s="38"/>
    </row>
    <row r="231" spans="8:8" hidden="1" x14ac:dyDescent="0.25">
      <c r="H231" s="38"/>
    </row>
    <row r="232" spans="8:8" hidden="1" x14ac:dyDescent="0.25">
      <c r="H232" s="38"/>
    </row>
    <row r="233" spans="8:8" hidden="1" x14ac:dyDescent="0.25">
      <c r="H233" s="38"/>
    </row>
    <row r="234" spans="8:8" hidden="1" x14ac:dyDescent="0.25">
      <c r="H234" s="38"/>
    </row>
    <row r="235" spans="8:8" hidden="1" x14ac:dyDescent="0.25">
      <c r="H235" s="38"/>
    </row>
    <row r="236" spans="8:8" hidden="1" x14ac:dyDescent="0.25">
      <c r="H236" s="38"/>
    </row>
    <row r="237" spans="8:8" hidden="1" x14ac:dyDescent="0.25">
      <c r="H237" s="38"/>
    </row>
    <row r="238" spans="8:8" hidden="1" x14ac:dyDescent="0.25">
      <c r="H238" s="38"/>
    </row>
    <row r="239" spans="8:8" hidden="1" x14ac:dyDescent="0.25">
      <c r="H239" s="38"/>
    </row>
    <row r="240" spans="8:8" hidden="1" x14ac:dyDescent="0.25">
      <c r="H240" s="38"/>
    </row>
    <row r="241" spans="8:8" hidden="1" x14ac:dyDescent="0.25">
      <c r="H241" s="38"/>
    </row>
    <row r="242" spans="8:8" hidden="1" x14ac:dyDescent="0.25">
      <c r="H242" s="38"/>
    </row>
    <row r="243" spans="8:8" hidden="1" x14ac:dyDescent="0.25">
      <c r="H243" s="38"/>
    </row>
    <row r="244" spans="8:8" hidden="1" x14ac:dyDescent="0.25">
      <c r="H244" s="38"/>
    </row>
    <row r="245" spans="8:8" hidden="1" x14ac:dyDescent="0.25">
      <c r="H245" s="38"/>
    </row>
    <row r="246" spans="8:8" hidden="1" x14ac:dyDescent="0.25">
      <c r="H246" s="38"/>
    </row>
    <row r="247" spans="8:8" hidden="1" x14ac:dyDescent="0.25">
      <c r="H247" s="38"/>
    </row>
    <row r="248" spans="8:8" hidden="1" x14ac:dyDescent="0.25">
      <c r="H248" s="38"/>
    </row>
    <row r="249" spans="8:8" hidden="1" x14ac:dyDescent="0.25">
      <c r="H249" s="38"/>
    </row>
    <row r="250" spans="8:8" hidden="1" x14ac:dyDescent="0.25">
      <c r="H250" s="38"/>
    </row>
    <row r="251" spans="8:8" hidden="1" x14ac:dyDescent="0.25">
      <c r="H251" s="38"/>
    </row>
    <row r="252" spans="8:8" hidden="1" x14ac:dyDescent="0.25">
      <c r="H252" s="38"/>
    </row>
    <row r="253" spans="8:8" hidden="1" x14ac:dyDescent="0.25">
      <c r="H253" s="38"/>
    </row>
    <row r="254" spans="8:8" hidden="1" x14ac:dyDescent="0.25">
      <c r="H254" s="38"/>
    </row>
    <row r="255" spans="8:8" hidden="1" x14ac:dyDescent="0.25">
      <c r="H255" s="38"/>
    </row>
    <row r="256" spans="8:8" hidden="1" x14ac:dyDescent="0.25">
      <c r="H256" s="38"/>
    </row>
    <row r="257" spans="8:8" hidden="1" x14ac:dyDescent="0.25">
      <c r="H257" s="38"/>
    </row>
    <row r="258" spans="8:8" hidden="1" x14ac:dyDescent="0.25">
      <c r="H258" s="38"/>
    </row>
    <row r="259" spans="8:8" hidden="1" x14ac:dyDescent="0.25">
      <c r="H259" s="38"/>
    </row>
    <row r="260" spans="8:8" hidden="1" x14ac:dyDescent="0.25">
      <c r="H260" s="38"/>
    </row>
    <row r="261" spans="8:8" hidden="1" x14ac:dyDescent="0.25">
      <c r="H261" s="38"/>
    </row>
    <row r="262" spans="8:8" hidden="1" x14ac:dyDescent="0.25">
      <c r="H262" s="38"/>
    </row>
    <row r="263" spans="8:8" hidden="1" x14ac:dyDescent="0.25">
      <c r="H263" s="38"/>
    </row>
    <row r="264" spans="8:8" hidden="1" x14ac:dyDescent="0.25">
      <c r="H264" s="38"/>
    </row>
    <row r="265" spans="8:8" hidden="1" x14ac:dyDescent="0.25">
      <c r="H265" s="38"/>
    </row>
    <row r="266" spans="8:8" hidden="1" x14ac:dyDescent="0.25">
      <c r="H266" s="38"/>
    </row>
    <row r="267" spans="8:8" hidden="1" x14ac:dyDescent="0.25">
      <c r="H267" s="38"/>
    </row>
    <row r="268" spans="8:8" hidden="1" x14ac:dyDescent="0.25">
      <c r="H268" s="38"/>
    </row>
    <row r="269" spans="8:8" hidden="1" x14ac:dyDescent="0.25">
      <c r="H269" s="38"/>
    </row>
    <row r="270" spans="8:8" hidden="1" x14ac:dyDescent="0.25">
      <c r="H270" s="38"/>
    </row>
    <row r="271" spans="8:8" hidden="1" x14ac:dyDescent="0.25">
      <c r="H271" s="38"/>
    </row>
    <row r="272" spans="8:8" hidden="1" x14ac:dyDescent="0.25">
      <c r="H272" s="38"/>
    </row>
    <row r="273" spans="8:8" hidden="1" x14ac:dyDescent="0.25">
      <c r="H273" s="38"/>
    </row>
    <row r="274" spans="8:8" hidden="1" x14ac:dyDescent="0.25">
      <c r="H274" s="38"/>
    </row>
    <row r="275" spans="8:8" hidden="1" x14ac:dyDescent="0.25">
      <c r="H275" s="38"/>
    </row>
    <row r="276" spans="8:8" hidden="1" x14ac:dyDescent="0.25">
      <c r="H276" s="38"/>
    </row>
    <row r="277" spans="8:8" hidden="1" x14ac:dyDescent="0.25">
      <c r="H277" s="38"/>
    </row>
    <row r="278" spans="8:8" hidden="1" x14ac:dyDescent="0.25">
      <c r="H278" s="38"/>
    </row>
    <row r="279" spans="8:8" hidden="1" x14ac:dyDescent="0.25">
      <c r="H279" s="38"/>
    </row>
    <row r="280" spans="8:8" hidden="1" x14ac:dyDescent="0.25">
      <c r="H280" s="38"/>
    </row>
    <row r="281" spans="8:8" hidden="1" x14ac:dyDescent="0.25">
      <c r="H281" s="38"/>
    </row>
    <row r="282" spans="8:8" hidden="1" x14ac:dyDescent="0.25">
      <c r="H282" s="38"/>
    </row>
    <row r="283" spans="8:8" hidden="1" x14ac:dyDescent="0.25">
      <c r="H283" s="38"/>
    </row>
    <row r="284" spans="8:8" hidden="1" x14ac:dyDescent="0.25">
      <c r="H284" s="38"/>
    </row>
    <row r="285" spans="8:8" hidden="1" x14ac:dyDescent="0.25">
      <c r="H285" s="38"/>
    </row>
    <row r="286" spans="8:8" hidden="1" x14ac:dyDescent="0.25">
      <c r="H286" s="38"/>
    </row>
    <row r="287" spans="8:8" hidden="1" x14ac:dyDescent="0.25">
      <c r="H287" s="38"/>
    </row>
    <row r="288" spans="8:8" hidden="1" x14ac:dyDescent="0.25">
      <c r="H288" s="38"/>
    </row>
    <row r="289" spans="8:8" hidden="1" x14ac:dyDescent="0.25">
      <c r="H289" s="38"/>
    </row>
    <row r="290" spans="8:8" hidden="1" x14ac:dyDescent="0.25">
      <c r="H290" s="38"/>
    </row>
    <row r="291" spans="8:8" hidden="1" x14ac:dyDescent="0.25">
      <c r="H291" s="38"/>
    </row>
    <row r="292" spans="8:8" hidden="1" x14ac:dyDescent="0.25">
      <c r="H292" s="38"/>
    </row>
    <row r="293" spans="8:8" hidden="1" x14ac:dyDescent="0.25">
      <c r="H293" s="38"/>
    </row>
    <row r="294" spans="8:8" hidden="1" x14ac:dyDescent="0.25">
      <c r="H294" s="38"/>
    </row>
    <row r="295" spans="8:8" hidden="1" x14ac:dyDescent="0.25">
      <c r="H295" s="38"/>
    </row>
    <row r="296" spans="8:8" hidden="1" x14ac:dyDescent="0.25">
      <c r="H296" s="38"/>
    </row>
    <row r="297" spans="8:8" hidden="1" x14ac:dyDescent="0.25">
      <c r="H297" s="38"/>
    </row>
    <row r="298" spans="8:8" hidden="1" x14ac:dyDescent="0.25">
      <c r="H298" s="38"/>
    </row>
    <row r="299" spans="8:8" hidden="1" x14ac:dyDescent="0.25">
      <c r="H299" s="38"/>
    </row>
    <row r="300" spans="8:8" hidden="1" x14ac:dyDescent="0.25">
      <c r="H300" s="38"/>
    </row>
    <row r="301" spans="8:8" hidden="1" x14ac:dyDescent="0.25">
      <c r="H301" s="38"/>
    </row>
    <row r="302" spans="8:8" hidden="1" x14ac:dyDescent="0.25">
      <c r="H302" s="38"/>
    </row>
    <row r="303" spans="8:8" hidden="1" x14ac:dyDescent="0.25">
      <c r="H303" s="38"/>
    </row>
    <row r="304" spans="8:8" hidden="1" x14ac:dyDescent="0.25">
      <c r="H304" s="38"/>
    </row>
    <row r="305" spans="8:8" hidden="1" x14ac:dyDescent="0.25">
      <c r="H305" s="38"/>
    </row>
    <row r="306" spans="8:8" hidden="1" x14ac:dyDescent="0.25">
      <c r="H306" s="38"/>
    </row>
    <row r="307" spans="8:8" hidden="1" x14ac:dyDescent="0.25">
      <c r="H307" s="38"/>
    </row>
    <row r="308" spans="8:8" hidden="1" x14ac:dyDescent="0.25">
      <c r="H308" s="38"/>
    </row>
    <row r="309" spans="8:8" hidden="1" x14ac:dyDescent="0.25">
      <c r="H309" s="38"/>
    </row>
    <row r="310" spans="8:8" hidden="1" x14ac:dyDescent="0.25">
      <c r="H310" s="38"/>
    </row>
    <row r="311" spans="8:8" hidden="1" x14ac:dyDescent="0.25">
      <c r="H311" s="38"/>
    </row>
    <row r="312" spans="8:8" hidden="1" x14ac:dyDescent="0.25">
      <c r="H312" s="38"/>
    </row>
    <row r="313" spans="8:8" hidden="1" x14ac:dyDescent="0.25">
      <c r="H313" s="38"/>
    </row>
    <row r="314" spans="8:8" hidden="1" x14ac:dyDescent="0.25">
      <c r="H314" s="38"/>
    </row>
    <row r="315" spans="8:8" hidden="1" x14ac:dyDescent="0.25">
      <c r="H315" s="38"/>
    </row>
    <row r="316" spans="8:8" hidden="1" x14ac:dyDescent="0.25">
      <c r="H316" s="38"/>
    </row>
    <row r="317" spans="8:8" hidden="1" x14ac:dyDescent="0.25">
      <c r="H317" s="38"/>
    </row>
    <row r="318" spans="8:8" hidden="1" x14ac:dyDescent="0.25">
      <c r="H318" s="38"/>
    </row>
    <row r="319" spans="8:8" hidden="1" x14ac:dyDescent="0.25">
      <c r="H319" s="38"/>
    </row>
    <row r="320" spans="8:8" hidden="1" x14ac:dyDescent="0.25">
      <c r="H320" s="38"/>
    </row>
    <row r="321" spans="8:8" hidden="1" x14ac:dyDescent="0.25">
      <c r="H321" s="38"/>
    </row>
    <row r="322" spans="8:8" hidden="1" x14ac:dyDescent="0.25">
      <c r="H322" s="38"/>
    </row>
    <row r="323" spans="8:8" hidden="1" x14ac:dyDescent="0.25">
      <c r="H323" s="38"/>
    </row>
    <row r="324" spans="8:8" hidden="1" x14ac:dyDescent="0.25">
      <c r="H324" s="38"/>
    </row>
    <row r="325" spans="8:8" hidden="1" x14ac:dyDescent="0.25">
      <c r="H325" s="38"/>
    </row>
    <row r="326" spans="8:8" hidden="1" x14ac:dyDescent="0.25">
      <c r="H326" s="38"/>
    </row>
    <row r="327" spans="8:8" hidden="1" x14ac:dyDescent="0.25">
      <c r="H327" s="38"/>
    </row>
    <row r="328" spans="8:8" hidden="1" x14ac:dyDescent="0.25">
      <c r="H328" s="38"/>
    </row>
    <row r="329" spans="8:8" hidden="1" x14ac:dyDescent="0.25">
      <c r="H329" s="38"/>
    </row>
    <row r="330" spans="8:8" hidden="1" x14ac:dyDescent="0.25">
      <c r="H330" s="38"/>
    </row>
    <row r="331" spans="8:8" hidden="1" x14ac:dyDescent="0.25">
      <c r="H331" s="38"/>
    </row>
    <row r="332" spans="8:8" hidden="1" x14ac:dyDescent="0.25">
      <c r="H332" s="38"/>
    </row>
    <row r="333" spans="8:8" hidden="1" x14ac:dyDescent="0.25">
      <c r="H333" s="38"/>
    </row>
    <row r="334" spans="8:8" hidden="1" x14ac:dyDescent="0.25">
      <c r="H334" s="38"/>
    </row>
    <row r="335" spans="8:8" hidden="1" x14ac:dyDescent="0.25">
      <c r="H335" s="38"/>
    </row>
    <row r="336" spans="8:8" hidden="1" x14ac:dyDescent="0.25">
      <c r="H336" s="38"/>
    </row>
    <row r="337" spans="8:8" hidden="1" x14ac:dyDescent="0.25">
      <c r="H337" s="38"/>
    </row>
    <row r="338" spans="8:8" hidden="1" x14ac:dyDescent="0.25">
      <c r="H338" s="38"/>
    </row>
    <row r="339" spans="8:8" hidden="1" x14ac:dyDescent="0.25">
      <c r="H339" s="38"/>
    </row>
    <row r="340" spans="8:8" hidden="1" x14ac:dyDescent="0.25">
      <c r="H340" s="38"/>
    </row>
    <row r="341" spans="8:8" hidden="1" x14ac:dyDescent="0.25">
      <c r="H341" s="38"/>
    </row>
    <row r="342" spans="8:8" hidden="1" x14ac:dyDescent="0.25">
      <c r="H342" s="38"/>
    </row>
    <row r="343" spans="8:8" hidden="1" x14ac:dyDescent="0.25">
      <c r="H343" s="38"/>
    </row>
    <row r="344" spans="8:8" hidden="1" x14ac:dyDescent="0.25">
      <c r="H344" s="38"/>
    </row>
    <row r="345" spans="8:8" hidden="1" x14ac:dyDescent="0.25">
      <c r="H345" s="38"/>
    </row>
    <row r="346" spans="8:8" hidden="1" x14ac:dyDescent="0.25">
      <c r="H346" s="38"/>
    </row>
    <row r="347" spans="8:8" hidden="1" x14ac:dyDescent="0.25">
      <c r="H347" s="38"/>
    </row>
    <row r="348" spans="8:8" hidden="1" x14ac:dyDescent="0.25">
      <c r="H348" s="38"/>
    </row>
    <row r="349" spans="8:8" hidden="1" x14ac:dyDescent="0.25">
      <c r="H349" s="38"/>
    </row>
    <row r="350" spans="8:8" hidden="1" x14ac:dyDescent="0.25">
      <c r="H350" s="38"/>
    </row>
    <row r="351" spans="8:8" hidden="1" x14ac:dyDescent="0.25">
      <c r="H351" s="38"/>
    </row>
    <row r="352" spans="8:8" hidden="1" x14ac:dyDescent="0.25">
      <c r="H352" s="38"/>
    </row>
    <row r="353" spans="8:8" hidden="1" x14ac:dyDescent="0.25">
      <c r="H353" s="38"/>
    </row>
    <row r="354" spans="8:8" hidden="1" x14ac:dyDescent="0.25">
      <c r="H354" s="38"/>
    </row>
    <row r="355" spans="8:8" hidden="1" x14ac:dyDescent="0.25">
      <c r="H355" s="38"/>
    </row>
    <row r="356" spans="8:8" hidden="1" x14ac:dyDescent="0.25">
      <c r="H356" s="38"/>
    </row>
    <row r="357" spans="8:8" hidden="1" x14ac:dyDescent="0.25">
      <c r="H357" s="38"/>
    </row>
    <row r="358" spans="8:8" hidden="1" x14ac:dyDescent="0.25">
      <c r="H358" s="38"/>
    </row>
    <row r="359" spans="8:8" hidden="1" x14ac:dyDescent="0.25">
      <c r="H359" s="38"/>
    </row>
    <row r="360" spans="8:8" hidden="1" x14ac:dyDescent="0.25">
      <c r="H360" s="38"/>
    </row>
    <row r="361" spans="8:8" hidden="1" x14ac:dyDescent="0.25">
      <c r="H361" s="38"/>
    </row>
    <row r="362" spans="8:8" hidden="1" x14ac:dyDescent="0.25">
      <c r="H362" s="38"/>
    </row>
    <row r="363" spans="8:8" hidden="1" x14ac:dyDescent="0.25">
      <c r="H363" s="38"/>
    </row>
    <row r="364" spans="8:8" hidden="1" x14ac:dyDescent="0.25">
      <c r="H364" s="38"/>
    </row>
    <row r="365" spans="8:8" hidden="1" x14ac:dyDescent="0.25">
      <c r="H365" s="38"/>
    </row>
    <row r="366" spans="8:8" hidden="1" x14ac:dyDescent="0.25">
      <c r="H366" s="38"/>
    </row>
    <row r="367" spans="8:8" hidden="1" x14ac:dyDescent="0.25">
      <c r="H367" s="38"/>
    </row>
    <row r="368" spans="8:8" hidden="1" x14ac:dyDescent="0.25">
      <c r="H368" s="38"/>
    </row>
    <row r="369" spans="8:8" hidden="1" x14ac:dyDescent="0.25">
      <c r="H369" s="38"/>
    </row>
    <row r="370" spans="8:8" hidden="1" x14ac:dyDescent="0.25">
      <c r="H370" s="38"/>
    </row>
    <row r="371" spans="8:8" hidden="1" x14ac:dyDescent="0.25">
      <c r="H371" s="38"/>
    </row>
    <row r="372" spans="8:8" hidden="1" x14ac:dyDescent="0.25">
      <c r="H372" s="38"/>
    </row>
    <row r="373" spans="8:8" hidden="1" x14ac:dyDescent="0.25">
      <c r="H373" s="38"/>
    </row>
    <row r="374" spans="8:8" hidden="1" x14ac:dyDescent="0.25">
      <c r="H374" s="38"/>
    </row>
    <row r="375" spans="8:8" hidden="1" x14ac:dyDescent="0.25">
      <c r="H375" s="38"/>
    </row>
    <row r="376" spans="8:8" hidden="1" x14ac:dyDescent="0.25">
      <c r="H376" s="38"/>
    </row>
    <row r="377" spans="8:8" hidden="1" x14ac:dyDescent="0.25">
      <c r="H377" s="38"/>
    </row>
    <row r="378" spans="8:8" hidden="1" x14ac:dyDescent="0.25">
      <c r="H378" s="38"/>
    </row>
    <row r="379" spans="8:8" hidden="1" x14ac:dyDescent="0.25">
      <c r="H379" s="38"/>
    </row>
    <row r="380" spans="8:8" hidden="1" x14ac:dyDescent="0.25">
      <c r="H380" s="38"/>
    </row>
    <row r="381" spans="8:8" hidden="1" x14ac:dyDescent="0.25">
      <c r="H381" s="38"/>
    </row>
    <row r="382" spans="8:8" hidden="1" x14ac:dyDescent="0.25">
      <c r="H382" s="38"/>
    </row>
    <row r="383" spans="8:8" hidden="1" x14ac:dyDescent="0.25">
      <c r="H383" s="38"/>
    </row>
    <row r="384" spans="8:8" hidden="1" x14ac:dyDescent="0.25">
      <c r="H384" s="38"/>
    </row>
    <row r="385" spans="8:8" hidden="1" x14ac:dyDescent="0.25">
      <c r="H385" s="38"/>
    </row>
    <row r="386" spans="8:8" hidden="1" x14ac:dyDescent="0.25">
      <c r="H386" s="38"/>
    </row>
    <row r="387" spans="8:8" hidden="1" x14ac:dyDescent="0.25">
      <c r="H387" s="38"/>
    </row>
    <row r="388" spans="8:8" hidden="1" x14ac:dyDescent="0.25">
      <c r="H388" s="38"/>
    </row>
    <row r="389" spans="8:8" hidden="1" x14ac:dyDescent="0.25">
      <c r="H389" s="38"/>
    </row>
    <row r="390" spans="8:8" hidden="1" x14ac:dyDescent="0.25">
      <c r="H390" s="38"/>
    </row>
    <row r="391" spans="8:8" hidden="1" x14ac:dyDescent="0.25">
      <c r="H391" s="38"/>
    </row>
    <row r="392" spans="8:8" hidden="1" x14ac:dyDescent="0.25">
      <c r="H392" s="38"/>
    </row>
    <row r="393" spans="8:8" hidden="1" x14ac:dyDescent="0.25">
      <c r="H393" s="38"/>
    </row>
    <row r="394" spans="8:8" hidden="1" x14ac:dyDescent="0.25">
      <c r="H394" s="38"/>
    </row>
    <row r="395" spans="8:8" hidden="1" x14ac:dyDescent="0.25">
      <c r="H395" s="38"/>
    </row>
    <row r="396" spans="8:8" hidden="1" x14ac:dyDescent="0.25">
      <c r="H396" s="38"/>
    </row>
    <row r="397" spans="8:8" hidden="1" x14ac:dyDescent="0.25">
      <c r="H397" s="38"/>
    </row>
    <row r="398" spans="8:8" hidden="1" x14ac:dyDescent="0.25">
      <c r="H398" s="38"/>
    </row>
    <row r="399" spans="8:8" hidden="1" x14ac:dyDescent="0.25">
      <c r="H399" s="38"/>
    </row>
    <row r="400" spans="8:8" hidden="1" x14ac:dyDescent="0.25">
      <c r="H400" s="38"/>
    </row>
    <row r="401" spans="8:8" hidden="1" x14ac:dyDescent="0.25">
      <c r="H401" s="38"/>
    </row>
    <row r="402" spans="8:8" hidden="1" x14ac:dyDescent="0.25">
      <c r="H402" s="38"/>
    </row>
    <row r="403" spans="8:8" hidden="1" x14ac:dyDescent="0.25">
      <c r="H403" s="38"/>
    </row>
    <row r="404" spans="8:8" hidden="1" x14ac:dyDescent="0.25">
      <c r="H404" s="38"/>
    </row>
    <row r="405" spans="8:8" hidden="1" x14ac:dyDescent="0.25">
      <c r="H405" s="38"/>
    </row>
    <row r="406" spans="8:8" hidden="1" x14ac:dyDescent="0.25">
      <c r="H406" s="38"/>
    </row>
    <row r="407" spans="8:8" hidden="1" x14ac:dyDescent="0.25">
      <c r="H407" s="38"/>
    </row>
    <row r="408" spans="8:8" hidden="1" x14ac:dyDescent="0.25">
      <c r="H408" s="38"/>
    </row>
    <row r="409" spans="8:8" hidden="1" x14ac:dyDescent="0.25">
      <c r="H409" s="38"/>
    </row>
    <row r="410" spans="8:8" hidden="1" x14ac:dyDescent="0.25">
      <c r="H410" s="38"/>
    </row>
    <row r="411" spans="8:8" hidden="1" x14ac:dyDescent="0.25">
      <c r="H411" s="38"/>
    </row>
    <row r="412" spans="8:8" hidden="1" x14ac:dyDescent="0.25">
      <c r="H412" s="38"/>
    </row>
    <row r="413" spans="8:8" hidden="1" x14ac:dyDescent="0.25">
      <c r="H413" s="38"/>
    </row>
    <row r="414" spans="8:8" hidden="1" x14ac:dyDescent="0.25">
      <c r="H414" s="38"/>
    </row>
    <row r="415" spans="8:8" hidden="1" x14ac:dyDescent="0.25">
      <c r="H415" s="38"/>
    </row>
    <row r="416" spans="8:8" hidden="1" x14ac:dyDescent="0.25">
      <c r="H416" s="38"/>
    </row>
    <row r="417" spans="8:8" hidden="1" x14ac:dyDescent="0.25">
      <c r="H417" s="38"/>
    </row>
    <row r="418" spans="8:8" hidden="1" x14ac:dyDescent="0.25">
      <c r="H418" s="38"/>
    </row>
    <row r="419" spans="8:8" hidden="1" x14ac:dyDescent="0.25">
      <c r="H419" s="38"/>
    </row>
    <row r="420" spans="8:8" hidden="1" x14ac:dyDescent="0.25">
      <c r="H420" s="38"/>
    </row>
    <row r="421" spans="8:8" hidden="1" x14ac:dyDescent="0.25">
      <c r="H421" s="38"/>
    </row>
    <row r="422" spans="8:8" hidden="1" x14ac:dyDescent="0.25">
      <c r="H422" s="38"/>
    </row>
    <row r="423" spans="8:8" hidden="1" x14ac:dyDescent="0.25">
      <c r="H423" s="38"/>
    </row>
    <row r="424" spans="8:8" hidden="1" x14ac:dyDescent="0.25">
      <c r="H424" s="38"/>
    </row>
    <row r="425" spans="8:8" hidden="1" x14ac:dyDescent="0.25">
      <c r="H425" s="38"/>
    </row>
    <row r="426" spans="8:8" hidden="1" x14ac:dyDescent="0.25">
      <c r="H426" s="38"/>
    </row>
    <row r="427" spans="8:8" hidden="1" x14ac:dyDescent="0.25">
      <c r="H427" s="38"/>
    </row>
    <row r="428" spans="8:8" hidden="1" x14ac:dyDescent="0.25">
      <c r="H428" s="38"/>
    </row>
    <row r="429" spans="8:8" hidden="1" x14ac:dyDescent="0.25">
      <c r="H429" s="38"/>
    </row>
    <row r="430" spans="8:8" hidden="1" x14ac:dyDescent="0.25">
      <c r="H430" s="38"/>
    </row>
    <row r="431" spans="8:8" hidden="1" x14ac:dyDescent="0.25">
      <c r="H431" s="38"/>
    </row>
    <row r="432" spans="8:8" hidden="1" x14ac:dyDescent="0.25">
      <c r="H432" s="38"/>
    </row>
    <row r="433" spans="8:8" hidden="1" x14ac:dyDescent="0.25">
      <c r="H433" s="38"/>
    </row>
    <row r="434" spans="8:8" hidden="1" x14ac:dyDescent="0.25">
      <c r="H434" s="38"/>
    </row>
    <row r="435" spans="8:8" hidden="1" x14ac:dyDescent="0.25">
      <c r="H435" s="38"/>
    </row>
    <row r="436" spans="8:8" hidden="1" x14ac:dyDescent="0.25">
      <c r="H436" s="38"/>
    </row>
    <row r="437" spans="8:8" hidden="1" x14ac:dyDescent="0.25">
      <c r="H437" s="38"/>
    </row>
    <row r="438" spans="8:8" hidden="1" x14ac:dyDescent="0.25">
      <c r="H438" s="38"/>
    </row>
    <row r="439" spans="8:8" hidden="1" x14ac:dyDescent="0.25">
      <c r="H439" s="38"/>
    </row>
    <row r="440" spans="8:8" hidden="1" x14ac:dyDescent="0.25">
      <c r="H440" s="38"/>
    </row>
    <row r="441" spans="8:8" hidden="1" x14ac:dyDescent="0.25">
      <c r="H441" s="38"/>
    </row>
    <row r="442" spans="8:8" hidden="1" x14ac:dyDescent="0.25">
      <c r="H442" s="38"/>
    </row>
    <row r="443" spans="8:8" hidden="1" x14ac:dyDescent="0.25">
      <c r="H443" s="38"/>
    </row>
    <row r="444" spans="8:8" hidden="1" x14ac:dyDescent="0.25">
      <c r="H444" s="38"/>
    </row>
    <row r="445" spans="8:8" hidden="1" x14ac:dyDescent="0.25">
      <c r="H445" s="38"/>
    </row>
    <row r="446" spans="8:8" hidden="1" x14ac:dyDescent="0.25">
      <c r="H446" s="38"/>
    </row>
    <row r="447" spans="8:8" hidden="1" x14ac:dyDescent="0.25">
      <c r="H447" s="38"/>
    </row>
    <row r="448" spans="8:8" hidden="1" x14ac:dyDescent="0.25">
      <c r="H448" s="38"/>
    </row>
    <row r="449" spans="8:8" hidden="1" x14ac:dyDescent="0.25">
      <c r="H449" s="38"/>
    </row>
    <row r="450" spans="8:8" hidden="1" x14ac:dyDescent="0.25">
      <c r="H450" s="38"/>
    </row>
    <row r="451" spans="8:8" hidden="1" x14ac:dyDescent="0.25">
      <c r="H451" s="38"/>
    </row>
    <row r="452" spans="8:8" hidden="1" x14ac:dyDescent="0.25">
      <c r="H452" s="38"/>
    </row>
    <row r="453" spans="8:8" hidden="1" x14ac:dyDescent="0.25">
      <c r="H453" s="38"/>
    </row>
    <row r="454" spans="8:8" hidden="1" x14ac:dyDescent="0.25">
      <c r="H454" s="38"/>
    </row>
    <row r="455" spans="8:8" hidden="1" x14ac:dyDescent="0.25">
      <c r="H455" s="38"/>
    </row>
    <row r="456" spans="8:8" hidden="1" x14ac:dyDescent="0.25">
      <c r="H456" s="38"/>
    </row>
    <row r="457" spans="8:8" hidden="1" x14ac:dyDescent="0.25">
      <c r="H457" s="38"/>
    </row>
    <row r="458" spans="8:8" hidden="1" x14ac:dyDescent="0.25">
      <c r="H458" s="38"/>
    </row>
    <row r="459" spans="8:8" hidden="1" x14ac:dyDescent="0.25">
      <c r="H459" s="38"/>
    </row>
    <row r="460" spans="8:8" hidden="1" x14ac:dyDescent="0.25">
      <c r="H460" s="38"/>
    </row>
    <row r="461" spans="8:8" hidden="1" x14ac:dyDescent="0.25">
      <c r="H461" s="38"/>
    </row>
    <row r="462" spans="8:8" hidden="1" x14ac:dyDescent="0.25">
      <c r="H462" s="38"/>
    </row>
    <row r="463" spans="8:8" hidden="1" x14ac:dyDescent="0.25">
      <c r="H463" s="38"/>
    </row>
    <row r="464" spans="8:8" hidden="1" x14ac:dyDescent="0.25">
      <c r="H464" s="38"/>
    </row>
    <row r="465" spans="8:8" hidden="1" x14ac:dyDescent="0.25">
      <c r="H465" s="38"/>
    </row>
    <row r="466" spans="8:8" hidden="1" x14ac:dyDescent="0.25">
      <c r="H466" s="38"/>
    </row>
    <row r="467" spans="8:8" hidden="1" x14ac:dyDescent="0.25">
      <c r="H467" s="38"/>
    </row>
    <row r="468" spans="8:8" hidden="1" x14ac:dyDescent="0.25">
      <c r="H468" s="38"/>
    </row>
    <row r="469" spans="8:8" hidden="1" x14ac:dyDescent="0.25">
      <c r="H469" s="38"/>
    </row>
    <row r="470" spans="8:8" hidden="1" x14ac:dyDescent="0.25">
      <c r="H470" s="38"/>
    </row>
    <row r="471" spans="8:8" hidden="1" x14ac:dyDescent="0.25">
      <c r="H471" s="38"/>
    </row>
    <row r="472" spans="8:8" hidden="1" x14ac:dyDescent="0.25">
      <c r="H472" s="38"/>
    </row>
    <row r="473" spans="8:8" hidden="1" x14ac:dyDescent="0.25">
      <c r="H473" s="38"/>
    </row>
    <row r="474" spans="8:8" hidden="1" x14ac:dyDescent="0.25">
      <c r="H474" s="38"/>
    </row>
    <row r="475" spans="8:8" hidden="1" x14ac:dyDescent="0.25">
      <c r="H475" s="38"/>
    </row>
    <row r="476" spans="8:8" hidden="1" x14ac:dyDescent="0.25">
      <c r="H476" s="38"/>
    </row>
    <row r="477" spans="8:8" hidden="1" x14ac:dyDescent="0.25">
      <c r="H477" s="38"/>
    </row>
    <row r="478" spans="8:8" hidden="1" x14ac:dyDescent="0.25">
      <c r="H478" s="38"/>
    </row>
    <row r="479" spans="8:8" hidden="1" x14ac:dyDescent="0.25">
      <c r="H479" s="38"/>
    </row>
    <row r="480" spans="8:8" hidden="1" x14ac:dyDescent="0.25">
      <c r="H480" s="38"/>
    </row>
    <row r="481" spans="8:8" hidden="1" x14ac:dyDescent="0.25">
      <c r="H481" s="38"/>
    </row>
    <row r="482" spans="8:8" hidden="1" x14ac:dyDescent="0.25">
      <c r="H482" s="38"/>
    </row>
    <row r="483" spans="8:8" hidden="1" x14ac:dyDescent="0.25">
      <c r="H483" s="38"/>
    </row>
    <row r="484" spans="8:8" hidden="1" x14ac:dyDescent="0.25">
      <c r="H484" s="38"/>
    </row>
    <row r="485" spans="8:8" hidden="1" x14ac:dyDescent="0.25">
      <c r="H485" s="38"/>
    </row>
    <row r="486" spans="8:8" hidden="1" x14ac:dyDescent="0.25">
      <c r="H486" s="38"/>
    </row>
    <row r="487" spans="8:8" hidden="1" x14ac:dyDescent="0.25">
      <c r="H487" s="38"/>
    </row>
    <row r="488" spans="8:8" hidden="1" x14ac:dyDescent="0.25">
      <c r="H488" s="38"/>
    </row>
    <row r="489" spans="8:8" hidden="1" x14ac:dyDescent="0.25">
      <c r="H489" s="38"/>
    </row>
    <row r="490" spans="8:8" hidden="1" x14ac:dyDescent="0.25">
      <c r="H490" s="38"/>
    </row>
    <row r="491" spans="8:8" hidden="1" x14ac:dyDescent="0.25">
      <c r="H491" s="38"/>
    </row>
    <row r="492" spans="8:8" hidden="1" x14ac:dyDescent="0.25">
      <c r="H492" s="38"/>
    </row>
    <row r="493" spans="8:8" hidden="1" x14ac:dyDescent="0.25">
      <c r="H493" s="38"/>
    </row>
    <row r="494" spans="8:8" hidden="1" x14ac:dyDescent="0.25">
      <c r="H494" s="38"/>
    </row>
    <row r="495" spans="8:8" hidden="1" x14ac:dyDescent="0.25">
      <c r="H495" s="38"/>
    </row>
    <row r="496" spans="8:8" hidden="1" x14ac:dyDescent="0.25">
      <c r="H496" s="38"/>
    </row>
    <row r="497" spans="8:8" hidden="1" x14ac:dyDescent="0.25">
      <c r="H497" s="38"/>
    </row>
    <row r="498" spans="8:8" hidden="1" x14ac:dyDescent="0.25">
      <c r="H498" s="38"/>
    </row>
    <row r="499" spans="8:8" hidden="1" x14ac:dyDescent="0.25">
      <c r="H499" s="38"/>
    </row>
    <row r="500" spans="8:8" hidden="1" x14ac:dyDescent="0.25">
      <c r="H500" s="38"/>
    </row>
    <row r="501" spans="8:8" hidden="1" x14ac:dyDescent="0.25">
      <c r="H501" s="38"/>
    </row>
    <row r="502" spans="8:8" hidden="1" x14ac:dyDescent="0.25">
      <c r="H502" s="38"/>
    </row>
    <row r="503" spans="8:8" hidden="1" x14ac:dyDescent="0.25">
      <c r="H503" s="38"/>
    </row>
    <row r="504" spans="8:8" hidden="1" x14ac:dyDescent="0.25">
      <c r="H504" s="38"/>
    </row>
    <row r="505" spans="8:8" hidden="1" x14ac:dyDescent="0.25">
      <c r="H505" s="38"/>
    </row>
    <row r="506" spans="8:8" hidden="1" x14ac:dyDescent="0.25">
      <c r="H506" s="38"/>
    </row>
    <row r="507" spans="8:8" hidden="1" x14ac:dyDescent="0.25">
      <c r="H507" s="38"/>
    </row>
    <row r="508" spans="8:8" hidden="1" x14ac:dyDescent="0.25">
      <c r="H508" s="38"/>
    </row>
    <row r="509" spans="8:8" hidden="1" x14ac:dyDescent="0.25">
      <c r="H509" s="38"/>
    </row>
    <row r="510" spans="8:8" hidden="1" x14ac:dyDescent="0.25">
      <c r="H510" s="38"/>
    </row>
    <row r="511" spans="8:8" hidden="1" x14ac:dyDescent="0.25">
      <c r="H511" s="38"/>
    </row>
    <row r="512" spans="8:8" hidden="1" x14ac:dyDescent="0.25">
      <c r="H512" s="38"/>
    </row>
    <row r="513" spans="8:8" hidden="1" x14ac:dyDescent="0.25">
      <c r="H513" s="38"/>
    </row>
    <row r="514" spans="8:8" hidden="1" x14ac:dyDescent="0.25">
      <c r="H514" s="38"/>
    </row>
    <row r="515" spans="8:8" hidden="1" x14ac:dyDescent="0.25">
      <c r="H515" s="38"/>
    </row>
    <row r="516" spans="8:8" hidden="1" x14ac:dyDescent="0.25">
      <c r="H516" s="38"/>
    </row>
    <row r="517" spans="8:8" hidden="1" x14ac:dyDescent="0.25">
      <c r="H517" s="38"/>
    </row>
    <row r="518" spans="8:8" hidden="1" x14ac:dyDescent="0.25">
      <c r="H518" s="38"/>
    </row>
    <row r="519" spans="8:8" hidden="1" x14ac:dyDescent="0.25">
      <c r="H519" s="38"/>
    </row>
    <row r="520" spans="8:8" hidden="1" x14ac:dyDescent="0.25">
      <c r="H520" s="38"/>
    </row>
    <row r="521" spans="8:8" hidden="1" x14ac:dyDescent="0.25">
      <c r="H521" s="38"/>
    </row>
    <row r="522" spans="8:8" hidden="1" x14ac:dyDescent="0.25">
      <c r="H522" s="38"/>
    </row>
    <row r="523" spans="8:8" hidden="1" x14ac:dyDescent="0.25">
      <c r="H523" s="38"/>
    </row>
    <row r="524" spans="8:8" hidden="1" x14ac:dyDescent="0.25">
      <c r="H524" s="38"/>
    </row>
    <row r="525" spans="8:8" hidden="1" x14ac:dyDescent="0.25">
      <c r="H525" s="38"/>
    </row>
    <row r="526" spans="8:8" hidden="1" x14ac:dyDescent="0.25">
      <c r="H526" s="38"/>
    </row>
    <row r="527" spans="8:8" hidden="1" x14ac:dyDescent="0.25">
      <c r="H527" s="38"/>
    </row>
    <row r="528" spans="8:8" hidden="1" x14ac:dyDescent="0.25">
      <c r="H528" s="38"/>
    </row>
    <row r="529" spans="8:8" hidden="1" x14ac:dyDescent="0.25">
      <c r="H529" s="38"/>
    </row>
    <row r="530" spans="8:8" hidden="1" x14ac:dyDescent="0.25">
      <c r="H530" s="38"/>
    </row>
    <row r="531" spans="8:8" hidden="1" x14ac:dyDescent="0.25">
      <c r="H531" s="38"/>
    </row>
    <row r="532" spans="8:8" hidden="1" x14ac:dyDescent="0.25">
      <c r="H532" s="38"/>
    </row>
    <row r="533" spans="8:8" hidden="1" x14ac:dyDescent="0.25">
      <c r="H533" s="38"/>
    </row>
    <row r="534" spans="8:8" hidden="1" x14ac:dyDescent="0.25">
      <c r="H534" s="38"/>
    </row>
    <row r="535" spans="8:8" hidden="1" x14ac:dyDescent="0.25">
      <c r="H535" s="38"/>
    </row>
    <row r="536" spans="8:8" hidden="1" x14ac:dyDescent="0.25">
      <c r="H536" s="38"/>
    </row>
    <row r="537" spans="8:8" hidden="1" x14ac:dyDescent="0.25">
      <c r="H537" s="38"/>
    </row>
    <row r="538" spans="8:8" hidden="1" x14ac:dyDescent="0.25">
      <c r="H538" s="38"/>
    </row>
    <row r="539" spans="8:8" hidden="1" x14ac:dyDescent="0.25">
      <c r="H539" s="38"/>
    </row>
    <row r="540" spans="8:8" hidden="1" x14ac:dyDescent="0.25">
      <c r="H540" s="38"/>
    </row>
    <row r="541" spans="8:8" hidden="1" x14ac:dyDescent="0.25">
      <c r="H541" s="38"/>
    </row>
    <row r="542" spans="8:8" hidden="1" x14ac:dyDescent="0.25">
      <c r="H542" s="38"/>
    </row>
    <row r="543" spans="8:8" hidden="1" x14ac:dyDescent="0.25">
      <c r="H543" s="38"/>
    </row>
    <row r="544" spans="8:8" hidden="1" x14ac:dyDescent="0.25">
      <c r="H544" s="38"/>
    </row>
    <row r="545" spans="8:8" hidden="1" x14ac:dyDescent="0.25">
      <c r="H545" s="38"/>
    </row>
    <row r="546" spans="8:8" hidden="1" x14ac:dyDescent="0.25">
      <c r="H546" s="38"/>
    </row>
    <row r="547" spans="8:8" hidden="1" x14ac:dyDescent="0.25">
      <c r="H547" s="38"/>
    </row>
    <row r="548" spans="8:8" hidden="1" x14ac:dyDescent="0.25">
      <c r="H548" s="38"/>
    </row>
    <row r="549" spans="8:8" hidden="1" x14ac:dyDescent="0.25">
      <c r="H549" s="38"/>
    </row>
    <row r="550" spans="8:8" hidden="1" x14ac:dyDescent="0.25">
      <c r="H550" s="38"/>
    </row>
    <row r="551" spans="8:8" hidden="1" x14ac:dyDescent="0.25">
      <c r="H551" s="38"/>
    </row>
    <row r="552" spans="8:8" hidden="1" x14ac:dyDescent="0.25">
      <c r="H552" s="38"/>
    </row>
    <row r="553" spans="8:8" hidden="1" x14ac:dyDescent="0.25">
      <c r="H553" s="38"/>
    </row>
    <row r="554" spans="8:8" hidden="1" x14ac:dyDescent="0.25">
      <c r="H554" s="38"/>
    </row>
    <row r="555" spans="8:8" hidden="1" x14ac:dyDescent="0.25">
      <c r="H555" s="38"/>
    </row>
    <row r="556" spans="8:8" hidden="1" x14ac:dyDescent="0.25">
      <c r="H556" s="38"/>
    </row>
    <row r="557" spans="8:8" hidden="1" x14ac:dyDescent="0.25">
      <c r="H557" s="38"/>
    </row>
    <row r="558" spans="8:8" hidden="1" x14ac:dyDescent="0.25">
      <c r="H558" s="38"/>
    </row>
    <row r="559" spans="8:8" hidden="1" x14ac:dyDescent="0.25">
      <c r="H559" s="38"/>
    </row>
    <row r="560" spans="8:8" hidden="1" x14ac:dyDescent="0.25">
      <c r="H560" s="38"/>
    </row>
    <row r="561" spans="8:8" hidden="1" x14ac:dyDescent="0.25">
      <c r="H561" s="38"/>
    </row>
    <row r="562" spans="8:8" hidden="1" x14ac:dyDescent="0.25">
      <c r="H562" s="38"/>
    </row>
    <row r="563" spans="8:8" hidden="1" x14ac:dyDescent="0.25">
      <c r="H563" s="38"/>
    </row>
    <row r="564" spans="8:8" hidden="1" x14ac:dyDescent="0.25">
      <c r="H564" s="38"/>
    </row>
    <row r="565" spans="8:8" hidden="1" x14ac:dyDescent="0.25">
      <c r="H565" s="38"/>
    </row>
    <row r="566" spans="8:8" hidden="1" x14ac:dyDescent="0.25">
      <c r="H566" s="38"/>
    </row>
    <row r="567" spans="8:8" hidden="1" x14ac:dyDescent="0.25">
      <c r="H567" s="38"/>
    </row>
    <row r="568" spans="8:8" hidden="1" x14ac:dyDescent="0.25">
      <c r="H568" s="38"/>
    </row>
    <row r="569" spans="8:8" hidden="1" x14ac:dyDescent="0.25">
      <c r="H569" s="38"/>
    </row>
    <row r="570" spans="8:8" hidden="1" x14ac:dyDescent="0.25">
      <c r="H570" s="38"/>
    </row>
    <row r="571" spans="8:8" hidden="1" x14ac:dyDescent="0.25">
      <c r="H571" s="38"/>
    </row>
    <row r="572" spans="8:8" hidden="1" x14ac:dyDescent="0.25">
      <c r="H572" s="38"/>
    </row>
    <row r="573" spans="8:8" hidden="1" x14ac:dyDescent="0.25">
      <c r="H573" s="38"/>
    </row>
    <row r="574" spans="8:8" hidden="1" x14ac:dyDescent="0.25">
      <c r="H574" s="38"/>
    </row>
    <row r="575" spans="8:8" hidden="1" x14ac:dyDescent="0.25">
      <c r="H575" s="38"/>
    </row>
    <row r="576" spans="8:8" hidden="1" x14ac:dyDescent="0.25">
      <c r="H576" s="38"/>
    </row>
    <row r="577" spans="8:8" hidden="1" x14ac:dyDescent="0.25">
      <c r="H577" s="38"/>
    </row>
    <row r="578" spans="8:8" ht="23.25" hidden="1" customHeight="1" x14ac:dyDescent="0.25">
      <c r="H578" s="38"/>
    </row>
  </sheetData>
  <sheetProtection algorithmName="SHA-512" hashValue="BKYcLwOiqrUgZytuCircF48gMhlWj+aVyOCHDH1JKAlKsBoc1wehfEha0y0yzugkKHSAtgm0Ll5MdzQBpvAxIw==" saltValue="D9HuZ6ZhRTWOuoouCjohig==" spinCount="100000" sheet="1" objects="1" scenarios="1" selectLockedCells="1"/>
  <customSheetViews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1"/>
      <headerFooter alignWithMargins="0"/>
    </customSheetView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2"/>
      <headerFooter alignWithMargins="0"/>
    </customSheetView>
  </customSheetViews>
  <mergeCells count="20">
    <mergeCell ref="A24:D24"/>
    <mergeCell ref="A23:F23"/>
    <mergeCell ref="A1:F1"/>
    <mergeCell ref="A2:F2"/>
    <mergeCell ref="A22:B22"/>
    <mergeCell ref="A21:B21"/>
    <mergeCell ref="F19:F20"/>
    <mergeCell ref="F16:F18"/>
    <mergeCell ref="F12:F14"/>
    <mergeCell ref="A25:B25"/>
    <mergeCell ref="A26:B26"/>
    <mergeCell ref="A30:B30"/>
    <mergeCell ref="A27:B27"/>
    <mergeCell ref="A28:B28"/>
    <mergeCell ref="A34:B34"/>
    <mergeCell ref="A35:D35"/>
    <mergeCell ref="A29:B29"/>
    <mergeCell ref="A31:B31"/>
    <mergeCell ref="A32:B32"/>
    <mergeCell ref="A33:B33"/>
  </mergeCells>
  <phoneticPr fontId="0" type="noConversion"/>
  <conditionalFormatting sqref="A21:F22">
    <cfRule type="expression" dxfId="10" priority="1" stopIfTrue="1">
      <formula>$A$21="Income Tax Refundable (Old Tax Regime)"</formula>
    </cfRule>
    <cfRule type="expression" dxfId="9" priority="2" stopIfTrue="1">
      <formula>$A$21="Income Tax Payable (Old Tax Regime)"</formula>
    </cfRule>
  </conditionalFormatting>
  <conditionalFormatting sqref="DS11:DS22">
    <cfRule type="cellIs" dxfId="8" priority="14" stopIfTrue="1" operator="lessThan">
      <formula>1</formula>
    </cfRule>
  </conditionalFormatting>
  <dataValidations count="11">
    <dataValidation type="whole" operator="lessThanOrEqual" allowBlank="1" showInputMessage="1" showErrorMessage="1" errorTitle="Sorry...!!! Not Allow" error="HRA Rebate Permissible up to Actual HRA Recieved" sqref="C3:C20" xr:uid="{00000000-0002-0000-0300-000000000000}">
      <formula1>G20</formula1>
    </dataValidation>
    <dataValidation type="whole" allowBlank="1" showInputMessage="1" showErrorMessage="1" errorTitle="ARTICLE 80DDB" sqref="E13" xr:uid="{00000000-0002-0000-0300-000001000000}">
      <formula1>0</formula1>
      <formula2>I13</formula2>
    </dataValidation>
    <dataValidation type="whole" allowBlank="1" showInputMessage="1" showErrorMessage="1" errorTitle="ARTICLE 80D" sqref="E11" xr:uid="{00000000-0002-0000-0300-000002000000}">
      <formula1>0</formula1>
      <formula2>75000</formula2>
    </dataValidation>
    <dataValidation type="list" allowBlank="1" showInputMessage="1" showErrorMessage="1" sqref="E3" xr:uid="{00000000-0002-0000-0300-000003000000}">
      <formula1>"0,50000"</formula1>
    </dataValidation>
    <dataValidation type="whole" operator="lessThanOrEqual" allowBlank="1" showInputMessage="1" showErrorMessage="1" errorTitle="Sorry...!!! Not Allow" error="HRA Rebate Permissible up to Actual HRA Recieved" sqref="B3" xr:uid="{00000000-0002-0000-0300-000004000000}">
      <formula1>I21</formula1>
    </dataValidation>
    <dataValidation type="whole" operator="lessThanOrEqual" allowBlank="1" showInputMessage="1" showErrorMessage="1" error="Maximum 2 lakh allowed_x000a_" sqref="B9" xr:uid="{00000000-0002-0000-0300-000005000000}">
      <formula1>200000</formula1>
    </dataValidation>
    <dataValidation type="whole" operator="lessThanOrEqual" allowBlank="1" showInputMessage="1" showErrorMessage="1" error="max 5000 allowed" sqref="B4" xr:uid="{00000000-0002-0000-0300-000006000000}">
      <formula1>5000</formula1>
    </dataValidation>
    <dataValidation type="whole" operator="lessThanOrEqual" allowBlank="1" showInputMessage="1" showErrorMessage="1" sqref="E16" xr:uid="{00000000-0002-0000-0300-000007000000}">
      <formula1>125000</formula1>
    </dataValidation>
    <dataValidation type="whole" allowBlank="1" showInputMessage="1" showErrorMessage="1" errorTitle="ARTICLE 80DD" sqref="E12" xr:uid="{00000000-0002-0000-0300-000008000000}">
      <formula1>0</formula1>
      <formula2>125000</formula2>
    </dataValidation>
    <dataValidation type="whole" operator="greaterThanOrEqual" allowBlank="1" showInputMessage="1" showErrorMessage="1" sqref="B7" xr:uid="{00000000-0002-0000-0300-000009000000}">
      <formula1>0</formula1>
    </dataValidation>
    <dataValidation type="whole" allowBlank="1" showInputMessage="1" showErrorMessage="1" sqref="E20" xr:uid="{00000000-0002-0000-0300-00000A000000}">
      <formula1>0</formula1>
      <formula2>14400</formula2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zoomScale="120" zoomScaleNormal="120" workbookViewId="0">
      <selection activeCell="C47" sqref="C47:O47"/>
    </sheetView>
  </sheetViews>
  <sheetFormatPr defaultColWidth="9.140625" defaultRowHeight="0" customHeight="1" zeroHeight="1" x14ac:dyDescent="0.2"/>
  <cols>
    <col min="1" max="1" width="3" customWidth="1"/>
    <col min="2" max="2" width="2.85546875" style="131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419" t="str">
        <f>GA55A!C2</f>
        <v>Office of the Principal, Govt. Sr. Secondary School Todaraisingh (Kekri)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1" t="s">
        <v>141</v>
      </c>
      <c r="P1" s="421"/>
      <c r="Q1" s="422"/>
    </row>
    <row r="2" spans="2:17" s="8" customFormat="1" ht="24" thickBot="1" x14ac:dyDescent="0.25">
      <c r="B2" s="425" t="s">
        <v>328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3"/>
      <c r="P2" s="423"/>
      <c r="Q2" s="424"/>
    </row>
    <row r="3" spans="2:17" s="8" customFormat="1" ht="17.100000000000001" customHeight="1" x14ac:dyDescent="0.2">
      <c r="B3" s="128">
        <v>1</v>
      </c>
      <c r="C3" s="427" t="s">
        <v>10</v>
      </c>
      <c r="D3" s="428"/>
      <c r="E3" s="429" t="str">
        <f>GA55A!D5</f>
        <v>Chandra Prakash Kurmi</v>
      </c>
      <c r="F3" s="429"/>
      <c r="G3" s="429"/>
      <c r="H3" s="429"/>
      <c r="I3" s="429"/>
      <c r="J3" s="429"/>
      <c r="K3" s="125" t="s">
        <v>26</v>
      </c>
      <c r="L3" s="430" t="str">
        <f>GA55A!D6</f>
        <v>Lecturer (L-13)</v>
      </c>
      <c r="M3" s="430"/>
      <c r="N3" s="430"/>
      <c r="O3" s="126" t="s">
        <v>24</v>
      </c>
      <c r="P3" s="431" t="str">
        <f>IF(GA55A!M5="","",GA55A!M5)</f>
        <v>AAAAAXXXXA</v>
      </c>
      <c r="Q3" s="432"/>
    </row>
    <row r="4" spans="2:17" s="8" customFormat="1" ht="17.100000000000001" customHeight="1" x14ac:dyDescent="0.2">
      <c r="B4" s="129">
        <v>2</v>
      </c>
      <c r="C4" s="439" t="s">
        <v>345</v>
      </c>
      <c r="D4" s="439"/>
      <c r="E4" s="372"/>
      <c r="F4" s="372"/>
      <c r="G4" s="372"/>
      <c r="H4" s="372"/>
      <c r="I4" s="372"/>
      <c r="J4" s="372"/>
      <c r="K4" s="439"/>
      <c r="L4" s="372"/>
      <c r="M4" s="372"/>
      <c r="N4" s="372"/>
      <c r="O4" s="439"/>
      <c r="P4" s="324">
        <f>GA55A!N28</f>
        <v>1284284</v>
      </c>
      <c r="Q4" s="325"/>
    </row>
    <row r="5" spans="2:17" s="8" customFormat="1" ht="17.100000000000001" customHeight="1" x14ac:dyDescent="0.2">
      <c r="B5" s="129">
        <v>3</v>
      </c>
      <c r="C5" s="372" t="s">
        <v>219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22">
        <f>'Other Deduction'!E20</f>
        <v>0</v>
      </c>
      <c r="Q5" s="323"/>
    </row>
    <row r="6" spans="2:17" s="8" customFormat="1" ht="17.100000000000001" customHeight="1" x14ac:dyDescent="0.2">
      <c r="B6" s="129">
        <v>4</v>
      </c>
      <c r="C6" s="440" t="s">
        <v>27</v>
      </c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324">
        <f>P4-P5</f>
        <v>1284284</v>
      </c>
      <c r="Q6" s="325"/>
    </row>
    <row r="7" spans="2:17" s="8" customFormat="1" ht="17.100000000000001" customHeight="1" x14ac:dyDescent="0.2">
      <c r="B7" s="361">
        <v>5</v>
      </c>
      <c r="C7" s="339" t="s">
        <v>220</v>
      </c>
      <c r="D7" s="340"/>
      <c r="E7" s="340"/>
      <c r="F7" s="340"/>
      <c r="G7" s="340"/>
      <c r="H7" s="340"/>
      <c r="I7" s="340"/>
      <c r="J7" s="340"/>
      <c r="K7" s="340"/>
      <c r="L7" s="340"/>
      <c r="M7" s="387">
        <f>IF(P4&lt;50001,P4,'Other Deduction'!E3)</f>
        <v>50000</v>
      </c>
      <c r="N7" s="387"/>
      <c r="O7" s="387"/>
      <c r="P7" s="433"/>
      <c r="Q7" s="434"/>
    </row>
    <row r="8" spans="2:17" s="8" customFormat="1" ht="17.100000000000001" customHeight="1" x14ac:dyDescent="0.2">
      <c r="B8" s="371"/>
      <c r="C8" s="339" t="s">
        <v>221</v>
      </c>
      <c r="D8" s="340"/>
      <c r="E8" s="340"/>
      <c r="F8" s="340"/>
      <c r="G8" s="340"/>
      <c r="H8" s="340"/>
      <c r="I8" s="340"/>
      <c r="J8" s="340"/>
      <c r="K8" s="340"/>
      <c r="L8" s="340"/>
      <c r="M8" s="387">
        <v>0</v>
      </c>
      <c r="N8" s="387"/>
      <c r="O8" s="387"/>
      <c r="P8" s="435"/>
      <c r="Q8" s="436"/>
    </row>
    <row r="9" spans="2:17" s="8" customFormat="1" ht="17.100000000000001" customHeight="1" x14ac:dyDescent="0.2">
      <c r="B9" s="371"/>
      <c r="C9" s="339" t="s">
        <v>222</v>
      </c>
      <c r="D9" s="340"/>
      <c r="E9" s="340"/>
      <c r="F9" s="340"/>
      <c r="G9" s="340"/>
      <c r="H9" s="340"/>
      <c r="I9" s="340"/>
      <c r="J9" s="340"/>
      <c r="K9" s="340"/>
      <c r="L9" s="340"/>
      <c r="M9" s="387">
        <v>0</v>
      </c>
      <c r="N9" s="387"/>
      <c r="O9" s="387"/>
      <c r="P9" s="437"/>
      <c r="Q9" s="438"/>
    </row>
    <row r="10" spans="2:17" s="8" customFormat="1" ht="17.100000000000001" customHeight="1" x14ac:dyDescent="0.2">
      <c r="B10" s="362"/>
      <c r="C10" s="414" t="s">
        <v>223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6"/>
      <c r="P10" s="322">
        <f>SUM(M7:O9)</f>
        <v>50000</v>
      </c>
      <c r="Q10" s="323"/>
    </row>
    <row r="11" spans="2:17" s="8" customFormat="1" ht="17.100000000000001" customHeight="1" x14ac:dyDescent="0.2">
      <c r="B11" s="129">
        <v>6</v>
      </c>
      <c r="C11" s="414" t="s">
        <v>224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6"/>
      <c r="P11" s="324">
        <f>P6-P10</f>
        <v>1234284</v>
      </c>
      <c r="Q11" s="325"/>
    </row>
    <row r="12" spans="2:17" s="8" customFormat="1" ht="17.100000000000001" customHeight="1" x14ac:dyDescent="0.2">
      <c r="B12" s="441">
        <v>7</v>
      </c>
      <c r="C12" s="442" t="s">
        <v>247</v>
      </c>
      <c r="D12" s="442"/>
      <c r="E12" s="442"/>
      <c r="F12" s="442"/>
      <c r="G12" s="442"/>
      <c r="H12" s="442"/>
      <c r="I12" s="442"/>
      <c r="J12" s="442"/>
      <c r="K12" s="383" t="s">
        <v>28</v>
      </c>
      <c r="L12" s="383"/>
      <c r="M12" s="387">
        <f>'Other Deduction'!B6</f>
        <v>0</v>
      </c>
      <c r="N12" s="387"/>
      <c r="O12" s="387"/>
      <c r="P12" s="395"/>
      <c r="Q12" s="396"/>
    </row>
    <row r="13" spans="2:17" s="8" customFormat="1" ht="17.100000000000001" customHeight="1" x14ac:dyDescent="0.2">
      <c r="B13" s="441"/>
      <c r="C13" s="397" t="s">
        <v>29</v>
      </c>
      <c r="D13" s="398"/>
      <c r="E13" s="401" t="s">
        <v>217</v>
      </c>
      <c r="F13" s="402"/>
      <c r="G13" s="403"/>
      <c r="H13" s="404" t="s">
        <v>11</v>
      </c>
      <c r="I13" s="404"/>
      <c r="J13" s="404"/>
      <c r="K13" s="383" t="s">
        <v>30</v>
      </c>
      <c r="L13" s="383"/>
      <c r="M13" s="383" t="s">
        <v>55</v>
      </c>
      <c r="N13" s="383"/>
      <c r="O13" s="383"/>
      <c r="P13" s="395"/>
      <c r="Q13" s="396"/>
    </row>
    <row r="14" spans="2:17" s="8" customFormat="1" ht="17.100000000000001" customHeight="1" x14ac:dyDescent="0.2">
      <c r="B14" s="441"/>
      <c r="C14" s="399"/>
      <c r="D14" s="400"/>
      <c r="E14" s="384">
        <v>0</v>
      </c>
      <c r="F14" s="385"/>
      <c r="G14" s="386"/>
      <c r="H14" s="387">
        <v>0</v>
      </c>
      <c r="I14" s="387"/>
      <c r="J14" s="387"/>
      <c r="K14" s="387">
        <v>0</v>
      </c>
      <c r="L14" s="387"/>
      <c r="M14" s="387">
        <v>0</v>
      </c>
      <c r="N14" s="387"/>
      <c r="O14" s="387"/>
      <c r="P14" s="395"/>
      <c r="Q14" s="396"/>
    </row>
    <row r="15" spans="2:17" s="8" customFormat="1" ht="17.100000000000001" customHeight="1" x14ac:dyDescent="0.2">
      <c r="B15" s="130"/>
      <c r="C15" s="388" t="s">
        <v>226</v>
      </c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90"/>
      <c r="P15" s="322">
        <f>M12</f>
        <v>0</v>
      </c>
      <c r="Q15" s="323"/>
    </row>
    <row r="16" spans="2:17" s="8" customFormat="1" ht="17.100000000000001" customHeight="1" x14ac:dyDescent="0.2">
      <c r="B16" s="129">
        <v>8</v>
      </c>
      <c r="C16" s="414" t="s">
        <v>225</v>
      </c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6"/>
      <c r="P16" s="322">
        <f>P11+P15</f>
        <v>1234284</v>
      </c>
      <c r="Q16" s="323"/>
    </row>
    <row r="17" spans="2:17" s="8" customFormat="1" ht="17.100000000000001" customHeight="1" x14ac:dyDescent="0.2">
      <c r="B17" s="129">
        <v>9</v>
      </c>
      <c r="C17" s="417" t="s">
        <v>23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322">
        <f>'Other Deduction'!J6</f>
        <v>0</v>
      </c>
      <c r="Q17" s="323"/>
    </row>
    <row r="18" spans="2:17" s="8" customFormat="1" ht="17.100000000000001" customHeight="1" x14ac:dyDescent="0.2">
      <c r="B18" s="129">
        <v>10</v>
      </c>
      <c r="C18" s="360" t="s">
        <v>295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24">
        <f>P16+P17</f>
        <v>1234284</v>
      </c>
      <c r="Q18" s="325"/>
    </row>
    <row r="19" spans="2:17" s="8" customFormat="1" ht="17.100000000000001" customHeight="1" x14ac:dyDescent="0.2">
      <c r="B19" s="361">
        <v>11</v>
      </c>
      <c r="C19" s="360" t="s">
        <v>142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79"/>
    </row>
    <row r="20" spans="2:17" s="8" customFormat="1" ht="17.100000000000001" customHeight="1" x14ac:dyDescent="0.25">
      <c r="B20" s="371"/>
      <c r="C20" s="391" t="s">
        <v>228</v>
      </c>
      <c r="D20" s="392"/>
      <c r="E20" s="392"/>
      <c r="F20" s="392"/>
      <c r="G20" s="392"/>
      <c r="H20" s="392"/>
      <c r="I20" s="392"/>
      <c r="J20" s="392"/>
      <c r="K20" s="392"/>
      <c r="L20" s="393"/>
      <c r="M20" s="393"/>
      <c r="N20" s="393"/>
      <c r="O20" s="394"/>
      <c r="P20" s="322">
        <v>0</v>
      </c>
      <c r="Q20" s="323"/>
    </row>
    <row r="21" spans="2:17" s="8" customFormat="1" ht="17.100000000000001" customHeight="1" x14ac:dyDescent="0.2">
      <c r="B21" s="371"/>
      <c r="C21" s="405" t="s">
        <v>229</v>
      </c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7"/>
      <c r="P21" s="322">
        <v>0</v>
      </c>
      <c r="Q21" s="323"/>
    </row>
    <row r="22" spans="2:17" s="8" customFormat="1" ht="17.100000000000001" customHeight="1" x14ac:dyDescent="0.2">
      <c r="B22" s="371"/>
      <c r="C22" s="408" t="s">
        <v>230</v>
      </c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10"/>
      <c r="P22" s="322">
        <v>0</v>
      </c>
      <c r="Q22" s="323"/>
    </row>
    <row r="23" spans="2:17" s="8" customFormat="1" ht="17.100000000000001" customHeight="1" x14ac:dyDescent="0.25">
      <c r="B23" s="362"/>
      <c r="C23" s="411" t="s">
        <v>214</v>
      </c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3"/>
      <c r="P23" s="324">
        <f>SUM(P20:Q22)</f>
        <v>0</v>
      </c>
      <c r="Q23" s="325"/>
    </row>
    <row r="24" spans="2:17" s="8" customFormat="1" ht="17.100000000000001" customHeight="1" x14ac:dyDescent="0.2">
      <c r="B24" s="361">
        <v>12</v>
      </c>
      <c r="C24" s="360" t="s">
        <v>75</v>
      </c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79"/>
    </row>
    <row r="25" spans="2:17" s="8" customFormat="1" ht="17.100000000000001" customHeight="1" x14ac:dyDescent="0.2">
      <c r="B25" s="371"/>
      <c r="C25" s="380" t="s">
        <v>246</v>
      </c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2"/>
      <c r="P25" s="322">
        <v>0</v>
      </c>
      <c r="Q25" s="323"/>
    </row>
    <row r="26" spans="2:17" s="8" customFormat="1" ht="17.100000000000001" customHeight="1" x14ac:dyDescent="0.2">
      <c r="B26" s="371"/>
      <c r="C26" s="372" t="s">
        <v>231</v>
      </c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22">
        <v>0</v>
      </c>
      <c r="Q26" s="323"/>
    </row>
    <row r="27" spans="2:17" s="8" customFormat="1" ht="17.100000000000001" customHeight="1" x14ac:dyDescent="0.2">
      <c r="B27" s="371"/>
      <c r="C27" s="372" t="s">
        <v>232</v>
      </c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22">
        <v>0</v>
      </c>
      <c r="Q27" s="323"/>
    </row>
    <row r="28" spans="2:17" s="8" customFormat="1" ht="17.100000000000001" customHeight="1" x14ac:dyDescent="0.2">
      <c r="B28" s="371"/>
      <c r="C28" s="372" t="s">
        <v>215</v>
      </c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22">
        <v>0</v>
      </c>
      <c r="Q28" s="323"/>
    </row>
    <row r="29" spans="2:17" s="8" customFormat="1" ht="17.100000000000001" customHeight="1" x14ac:dyDescent="0.2">
      <c r="B29" s="371"/>
      <c r="C29" s="372" t="s">
        <v>233</v>
      </c>
      <c r="D29" s="372"/>
      <c r="E29" s="372"/>
      <c r="F29" s="372"/>
      <c r="G29" s="372"/>
      <c r="H29" s="372"/>
      <c r="I29" s="372"/>
      <c r="J29" s="372"/>
      <c r="K29" s="372"/>
      <c r="L29" s="372"/>
      <c r="M29" s="372"/>
      <c r="N29" s="372"/>
      <c r="O29" s="372"/>
      <c r="P29" s="322">
        <v>0</v>
      </c>
      <c r="Q29" s="323"/>
    </row>
    <row r="30" spans="2:17" s="8" customFormat="1" ht="17.100000000000001" customHeight="1" x14ac:dyDescent="0.2">
      <c r="B30" s="371"/>
      <c r="C30" s="380" t="s">
        <v>234</v>
      </c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2"/>
      <c r="P30" s="322">
        <v>0</v>
      </c>
      <c r="Q30" s="323"/>
    </row>
    <row r="31" spans="2:17" s="8" customFormat="1" ht="17.100000000000001" customHeight="1" x14ac:dyDescent="0.2">
      <c r="B31" s="371"/>
      <c r="C31" s="339" t="s">
        <v>235</v>
      </c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1"/>
      <c r="P31" s="322">
        <v>0</v>
      </c>
      <c r="Q31" s="323"/>
    </row>
    <row r="32" spans="2:17" s="8" customFormat="1" ht="17.100000000000001" customHeight="1" x14ac:dyDescent="0.2">
      <c r="B32" s="371"/>
      <c r="C32" s="339" t="s">
        <v>236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1"/>
      <c r="P32" s="322">
        <v>0</v>
      </c>
      <c r="Q32" s="323"/>
    </row>
    <row r="33" spans="2:20" s="8" customFormat="1" ht="17.100000000000001" customHeight="1" x14ac:dyDescent="0.2">
      <c r="B33" s="371"/>
      <c r="C33" s="339" t="s">
        <v>216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1"/>
      <c r="P33" s="322">
        <v>0</v>
      </c>
      <c r="Q33" s="323"/>
    </row>
    <row r="34" spans="2:20" s="8" customFormat="1" ht="17.100000000000001" customHeight="1" x14ac:dyDescent="0.2">
      <c r="B34" s="362"/>
      <c r="C34" s="369" t="s">
        <v>143</v>
      </c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22">
        <f>SUM(Q25:Q33)</f>
        <v>0</v>
      </c>
      <c r="Q34" s="323"/>
    </row>
    <row r="35" spans="2:20" s="8" customFormat="1" ht="17.100000000000001" customHeight="1" x14ac:dyDescent="0.2">
      <c r="B35" s="129">
        <v>13</v>
      </c>
      <c r="C35" s="360" t="s">
        <v>213</v>
      </c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22">
        <f>P23+P34</f>
        <v>0</v>
      </c>
      <c r="Q35" s="323"/>
    </row>
    <row r="36" spans="2:20" s="8" customFormat="1" ht="17.100000000000001" customHeight="1" x14ac:dyDescent="0.2">
      <c r="B36" s="129">
        <v>14</v>
      </c>
      <c r="C36" s="370" t="s">
        <v>237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22">
        <f>(P18-P35)</f>
        <v>1234284</v>
      </c>
      <c r="Q36" s="323"/>
    </row>
    <row r="37" spans="2:20" s="8" customFormat="1" ht="17.100000000000001" customHeight="1" x14ac:dyDescent="0.2">
      <c r="B37" s="129">
        <v>15</v>
      </c>
      <c r="C37" s="360" t="s">
        <v>212</v>
      </c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24">
        <f>ROUND(P36,-1)</f>
        <v>1234280</v>
      </c>
      <c r="Q37" s="325"/>
      <c r="T37" s="205"/>
    </row>
    <row r="38" spans="2:20" s="8" customFormat="1" ht="17.100000000000001" customHeight="1" x14ac:dyDescent="0.2">
      <c r="B38" s="361">
        <v>16</v>
      </c>
      <c r="C38" s="372" t="s">
        <v>238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3"/>
    </row>
    <row r="39" spans="2:20" s="8" customFormat="1" ht="17.100000000000001" customHeight="1" x14ac:dyDescent="0.2">
      <c r="B39" s="371"/>
      <c r="C39" s="374" t="s">
        <v>239</v>
      </c>
      <c r="D39" s="375"/>
      <c r="E39" s="375"/>
      <c r="F39" s="375"/>
      <c r="G39" s="375"/>
      <c r="H39" s="375" t="s">
        <v>240</v>
      </c>
      <c r="I39" s="375"/>
      <c r="J39" s="375"/>
      <c r="K39" s="375"/>
      <c r="L39" s="376" t="s">
        <v>241</v>
      </c>
      <c r="M39" s="377"/>
      <c r="N39" s="377"/>
      <c r="O39" s="378"/>
      <c r="P39" s="326"/>
      <c r="Q39" s="327"/>
    </row>
    <row r="40" spans="2:20" s="8" customFormat="1" ht="17.100000000000001" customHeight="1" x14ac:dyDescent="0.2">
      <c r="B40" s="371"/>
      <c r="C40" s="342" t="s">
        <v>322</v>
      </c>
      <c r="D40" s="343"/>
      <c r="E40" s="344"/>
      <c r="F40" s="346" t="s">
        <v>48</v>
      </c>
      <c r="G40" s="346"/>
      <c r="H40" s="342" t="s">
        <v>322</v>
      </c>
      <c r="I40" s="343"/>
      <c r="J40" s="344"/>
      <c r="K40" s="122" t="s">
        <v>48</v>
      </c>
      <c r="L40" s="342" t="s">
        <v>322</v>
      </c>
      <c r="M40" s="343"/>
      <c r="N40" s="344"/>
      <c r="O40" s="123" t="s">
        <v>48</v>
      </c>
      <c r="P40" s="322">
        <v>0</v>
      </c>
      <c r="Q40" s="323"/>
    </row>
    <row r="41" spans="2:20" s="8" customFormat="1" ht="17.100000000000001" customHeight="1" x14ac:dyDescent="0.2">
      <c r="B41" s="371"/>
      <c r="C41" s="342" t="s">
        <v>323</v>
      </c>
      <c r="D41" s="343"/>
      <c r="E41" s="344"/>
      <c r="F41" s="345">
        <v>0.05</v>
      </c>
      <c r="G41" s="346"/>
      <c r="H41" s="342" t="s">
        <v>323</v>
      </c>
      <c r="I41" s="343"/>
      <c r="J41" s="344"/>
      <c r="K41" s="124">
        <v>0.05</v>
      </c>
      <c r="L41" s="342" t="s">
        <v>323</v>
      </c>
      <c r="M41" s="343"/>
      <c r="N41" s="344"/>
      <c r="O41" s="124">
        <v>0.05</v>
      </c>
      <c r="P41" s="322">
        <f>ROUND(IF(P37&lt;300001,0,IF(P37&gt;600000,15000,((P37-300000)*0.05))),0)</f>
        <v>15000</v>
      </c>
      <c r="Q41" s="323"/>
    </row>
    <row r="42" spans="2:20" s="8" customFormat="1" ht="17.100000000000001" customHeight="1" x14ac:dyDescent="0.2">
      <c r="B42" s="371"/>
      <c r="C42" s="342" t="s">
        <v>324</v>
      </c>
      <c r="D42" s="343"/>
      <c r="E42" s="344"/>
      <c r="F42" s="345">
        <v>0.1</v>
      </c>
      <c r="G42" s="346"/>
      <c r="H42" s="342" t="s">
        <v>324</v>
      </c>
      <c r="I42" s="343"/>
      <c r="J42" s="344"/>
      <c r="K42" s="124">
        <v>0.1</v>
      </c>
      <c r="L42" s="342" t="s">
        <v>324</v>
      </c>
      <c r="M42" s="343"/>
      <c r="N42" s="344"/>
      <c r="O42" s="124">
        <v>0.1</v>
      </c>
      <c r="P42" s="322">
        <f>IF(P37&lt;600001,0,IF(P37&gt;900000,30000,((P37-600000)*0.1)))</f>
        <v>30000</v>
      </c>
      <c r="Q42" s="323"/>
    </row>
    <row r="43" spans="2:20" s="8" customFormat="1" ht="17.100000000000001" customHeight="1" x14ac:dyDescent="0.2">
      <c r="B43" s="371"/>
      <c r="C43" s="342" t="s">
        <v>325</v>
      </c>
      <c r="D43" s="343"/>
      <c r="E43" s="344"/>
      <c r="F43" s="349">
        <v>0.15</v>
      </c>
      <c r="G43" s="350"/>
      <c r="H43" s="342" t="s">
        <v>325</v>
      </c>
      <c r="I43" s="343"/>
      <c r="J43" s="344"/>
      <c r="K43" s="124">
        <v>0.15</v>
      </c>
      <c r="L43" s="342" t="s">
        <v>325</v>
      </c>
      <c r="M43" s="343"/>
      <c r="N43" s="344"/>
      <c r="O43" s="124">
        <v>0.15</v>
      </c>
      <c r="P43" s="322">
        <f>IF(P37&lt;900001,0,IF(P37&gt;1200000,45000,((P37-900000)*0.15)))</f>
        <v>45000</v>
      </c>
      <c r="Q43" s="323"/>
    </row>
    <row r="44" spans="2:20" s="8" customFormat="1" ht="17.100000000000001" customHeight="1" x14ac:dyDescent="0.2">
      <c r="B44" s="371"/>
      <c r="C44" s="342" t="s">
        <v>326</v>
      </c>
      <c r="D44" s="343"/>
      <c r="E44" s="344"/>
      <c r="F44" s="349">
        <v>0.2</v>
      </c>
      <c r="G44" s="350"/>
      <c r="H44" s="342" t="s">
        <v>326</v>
      </c>
      <c r="I44" s="343"/>
      <c r="J44" s="344"/>
      <c r="K44" s="124">
        <v>0.2</v>
      </c>
      <c r="L44" s="342" t="s">
        <v>326</v>
      </c>
      <c r="M44" s="343"/>
      <c r="N44" s="344"/>
      <c r="O44" s="124">
        <v>0.2</v>
      </c>
      <c r="P44" s="322">
        <f>IF(P37&lt;1200001,0,IF(P37&gt;1500000,60000,((P37-1200000)*0.2)))</f>
        <v>6856</v>
      </c>
      <c r="Q44" s="323"/>
    </row>
    <row r="45" spans="2:20" s="8" customFormat="1" ht="17.100000000000001" customHeight="1" x14ac:dyDescent="0.2">
      <c r="B45" s="371"/>
      <c r="C45" s="342" t="s">
        <v>327</v>
      </c>
      <c r="D45" s="343"/>
      <c r="E45" s="344"/>
      <c r="F45" s="349">
        <v>0.3</v>
      </c>
      <c r="G45" s="350"/>
      <c r="H45" s="342" t="s">
        <v>327</v>
      </c>
      <c r="I45" s="343"/>
      <c r="J45" s="344"/>
      <c r="K45" s="124">
        <v>0.3</v>
      </c>
      <c r="L45" s="342" t="s">
        <v>327</v>
      </c>
      <c r="M45" s="343"/>
      <c r="N45" s="344"/>
      <c r="O45" s="124">
        <v>0.3</v>
      </c>
      <c r="P45" s="322">
        <f>IF(P37&lt;1500001,0,(P37-1500000)*0.3)</f>
        <v>0</v>
      </c>
      <c r="Q45" s="323"/>
      <c r="T45" s="204"/>
    </row>
    <row r="46" spans="2:20" s="8" customFormat="1" ht="17.100000000000001" customHeight="1" x14ac:dyDescent="0.2">
      <c r="B46" s="371"/>
      <c r="C46" s="328" t="s">
        <v>56</v>
      </c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30"/>
      <c r="P46" s="351">
        <f>SUM(P40:Q45)</f>
        <v>96856</v>
      </c>
      <c r="Q46" s="352"/>
      <c r="S46" s="206"/>
    </row>
    <row r="47" spans="2:20" s="8" customFormat="1" ht="17.100000000000001" customHeight="1" x14ac:dyDescent="0.2">
      <c r="B47" s="371"/>
      <c r="C47" s="331" t="s">
        <v>355</v>
      </c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3"/>
      <c r="P47" s="353">
        <f>IF(P37&lt;700001,P46,IF(P37&gt;727770,0,P46-(P37-700000)))</f>
        <v>0</v>
      </c>
      <c r="Q47" s="354"/>
    </row>
    <row r="48" spans="2:20" s="8" customFormat="1" ht="17.100000000000001" customHeight="1" x14ac:dyDescent="0.2">
      <c r="B48" s="371"/>
      <c r="C48" s="334" t="s">
        <v>70</v>
      </c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6"/>
      <c r="P48" s="351">
        <f>P46-P47</f>
        <v>96856</v>
      </c>
      <c r="Q48" s="352"/>
    </row>
    <row r="49" spans="1:18" s="8" customFormat="1" ht="17.100000000000001" customHeight="1" x14ac:dyDescent="0.2">
      <c r="B49" s="371"/>
      <c r="C49" s="337" t="s">
        <v>242</v>
      </c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55">
        <f>ROUND(P48*4%,0)</f>
        <v>3874</v>
      </c>
      <c r="Q49" s="356"/>
    </row>
    <row r="50" spans="1:18" s="8" customFormat="1" ht="17.100000000000001" customHeight="1" x14ac:dyDescent="0.2">
      <c r="B50" s="362"/>
      <c r="C50" s="338" t="s">
        <v>244</v>
      </c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16">
        <f>SUM(P48:Q49)</f>
        <v>100730</v>
      </c>
      <c r="Q50" s="317"/>
    </row>
    <row r="51" spans="1:18" s="8" customFormat="1" ht="17.100000000000001" customHeight="1" x14ac:dyDescent="0.2">
      <c r="B51" s="129">
        <v>17</v>
      </c>
      <c r="C51" s="339" t="s">
        <v>243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1"/>
      <c r="P51" s="355">
        <f>'Other Deduction'!E18</f>
        <v>0</v>
      </c>
      <c r="Q51" s="356"/>
    </row>
    <row r="52" spans="1:18" s="8" customFormat="1" ht="17.100000000000001" customHeight="1" x14ac:dyDescent="0.2">
      <c r="B52" s="129">
        <v>18</v>
      </c>
      <c r="C52" s="360" t="s">
        <v>59</v>
      </c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16">
        <f>P50-P51</f>
        <v>100730</v>
      </c>
      <c r="Q52" s="317"/>
    </row>
    <row r="53" spans="1:18" ht="33.75" customHeight="1" x14ac:dyDescent="0.2">
      <c r="B53" s="361">
        <v>19</v>
      </c>
      <c r="C53" s="363" t="s">
        <v>51</v>
      </c>
      <c r="D53" s="363"/>
      <c r="E53" s="364"/>
      <c r="F53" s="367" t="s">
        <v>348</v>
      </c>
      <c r="G53" s="367"/>
      <c r="H53" s="367"/>
      <c r="I53" s="367"/>
      <c r="J53" s="347" t="s">
        <v>349</v>
      </c>
      <c r="K53" s="368"/>
      <c r="L53" s="119" t="s">
        <v>350</v>
      </c>
      <c r="M53" s="347" t="s">
        <v>351</v>
      </c>
      <c r="N53" s="368"/>
      <c r="O53" s="119" t="s">
        <v>60</v>
      </c>
      <c r="P53" s="347" t="s">
        <v>245</v>
      </c>
      <c r="Q53" s="348"/>
    </row>
    <row r="54" spans="1:18" ht="15.75" customHeight="1" x14ac:dyDescent="0.2">
      <c r="B54" s="362"/>
      <c r="C54" s="365"/>
      <c r="D54" s="365"/>
      <c r="E54" s="366"/>
      <c r="F54" s="357">
        <f>SUM(GA55A!V8:V14)</f>
        <v>56000</v>
      </c>
      <c r="G54" s="357"/>
      <c r="H54" s="357"/>
      <c r="I54" s="357"/>
      <c r="J54" s="357">
        <f>SUM(GA55A!V15:V17)</f>
        <v>24000</v>
      </c>
      <c r="K54" s="357"/>
      <c r="L54" s="120">
        <f>GA55A!V18</f>
        <v>8000</v>
      </c>
      <c r="M54" s="357">
        <f>GA55A!V19</f>
        <v>8000</v>
      </c>
      <c r="N54" s="357"/>
      <c r="O54" s="121">
        <f>SUM(GA55A!V20:V27)+'Other Deduction'!E19</f>
        <v>0</v>
      </c>
      <c r="P54" s="318">
        <f>F54+J54+L54+M54+O54</f>
        <v>96000</v>
      </c>
      <c r="Q54" s="319"/>
    </row>
    <row r="55" spans="1:18" ht="17.100000000000001" customHeight="1" thickBot="1" x14ac:dyDescent="0.25">
      <c r="B55" s="358" t="str">
        <f>IF(P52&gt;P54,"Income Tax Payable (New Tax Regime)",IF(P52&lt;P54,"Income Tax Refundable (New Tax Regime)","Income Tax Payble/Refundable (New Tax Regime)"))</f>
        <v>Income Tax Payable (New Tax Regime)</v>
      </c>
      <c r="C55" s="359"/>
      <c r="D55" s="359"/>
      <c r="E55" s="359"/>
      <c r="F55" s="359"/>
      <c r="G55" s="359"/>
      <c r="H55" s="359"/>
      <c r="I55" s="359"/>
      <c r="J55" s="359"/>
      <c r="K55" s="359"/>
      <c r="L55" s="359"/>
      <c r="M55" s="359"/>
      <c r="N55" s="359"/>
      <c r="O55" s="359"/>
      <c r="P55" s="320">
        <f>P52-P54</f>
        <v>4730</v>
      </c>
      <c r="Q55" s="321"/>
    </row>
    <row r="56" spans="1:18" ht="15.75" x14ac:dyDescent="0.2">
      <c r="B56" s="12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85" t="s">
        <v>53</v>
      </c>
      <c r="O58" s="185" t="s">
        <v>54</v>
      </c>
    </row>
    <row r="59" spans="1:18" s="65" customFormat="1" ht="56.25" customHeight="1" x14ac:dyDescent="0.3">
      <c r="A59" s="418" t="s">
        <v>290</v>
      </c>
      <c r="B59" s="418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aO5V1hKNEySt6HzABEbdRaJFMbZiakD3RJfGyEinRbSWvX6wUIZKgxoUEAnRNczSJiv5nTcIzAGNUfOQa7tU3A==" saltValue="1zpmAZaOZuT2tGNiX5yesA==" spinCount="100000" sheet="1" objects="1" scenarios="1" formatColumns="0" selectLockedCells="1"/>
  <mergeCells count="149"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topLeftCell="A25" zoomScale="120" zoomScaleNormal="120" workbookViewId="0">
      <selection activeCell="P7" sqref="P7:Q9"/>
    </sheetView>
  </sheetViews>
  <sheetFormatPr defaultColWidth="0" defaultRowHeight="12.75" zeroHeight="1" x14ac:dyDescent="0.2"/>
  <cols>
    <col min="1" max="1" width="3" customWidth="1"/>
    <col min="2" max="2" width="2.85546875" style="82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419" t="str">
        <f>GA55A!C2</f>
        <v>Office of the Principal, Govt. Sr. Secondary School Todaraisingh (Kekri)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1" t="s">
        <v>141</v>
      </c>
      <c r="P1" s="421"/>
      <c r="Q1" s="422"/>
    </row>
    <row r="2" spans="2:17" s="8" customFormat="1" ht="24" thickBot="1" x14ac:dyDescent="0.25">
      <c r="B2" s="425" t="s">
        <v>329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3"/>
      <c r="P2" s="423"/>
      <c r="Q2" s="424"/>
    </row>
    <row r="3" spans="2:17" s="8" customFormat="1" ht="15.6" customHeight="1" x14ac:dyDescent="0.2">
      <c r="B3" s="132">
        <v>1</v>
      </c>
      <c r="C3" s="427" t="s">
        <v>10</v>
      </c>
      <c r="D3" s="428"/>
      <c r="E3" s="429" t="str">
        <f>GA55A!D5</f>
        <v>Chandra Prakash Kurmi</v>
      </c>
      <c r="F3" s="429"/>
      <c r="G3" s="429"/>
      <c r="H3" s="429"/>
      <c r="I3" s="429"/>
      <c r="J3" s="429"/>
      <c r="K3" s="125" t="s">
        <v>26</v>
      </c>
      <c r="L3" s="430" t="str">
        <f>GA55A!D6</f>
        <v>Lecturer (L-13)</v>
      </c>
      <c r="M3" s="430"/>
      <c r="N3" s="430"/>
      <c r="O3" s="126" t="s">
        <v>24</v>
      </c>
      <c r="P3" s="504" t="str">
        <f>IF(GA55A!M5="","",GA55A!M5)</f>
        <v>AAAAAXXXXA</v>
      </c>
      <c r="Q3" s="505"/>
    </row>
    <row r="4" spans="2:17" s="8" customFormat="1" ht="15.6" customHeight="1" x14ac:dyDescent="0.2">
      <c r="B4" s="133">
        <v>2</v>
      </c>
      <c r="C4" s="439" t="s">
        <v>330</v>
      </c>
      <c r="D4" s="439"/>
      <c r="E4" s="372"/>
      <c r="F4" s="372"/>
      <c r="G4" s="372"/>
      <c r="H4" s="372"/>
      <c r="I4" s="372"/>
      <c r="J4" s="372"/>
      <c r="K4" s="439"/>
      <c r="L4" s="372"/>
      <c r="M4" s="372"/>
      <c r="N4" s="372"/>
      <c r="O4" s="439"/>
      <c r="P4" s="443">
        <f>GA55A!N28</f>
        <v>1284284</v>
      </c>
      <c r="Q4" s="444"/>
    </row>
    <row r="5" spans="2:17" s="8" customFormat="1" ht="15.6" customHeight="1" x14ac:dyDescent="0.2">
      <c r="B5" s="133">
        <v>3</v>
      </c>
      <c r="C5" s="372" t="s">
        <v>260</v>
      </c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447">
        <f>'Other Deduction'!B3+'Other Deduction'!E20</f>
        <v>0</v>
      </c>
      <c r="Q5" s="448"/>
    </row>
    <row r="6" spans="2:17" s="8" customFormat="1" ht="15.6" customHeight="1" x14ac:dyDescent="0.2">
      <c r="B6" s="133">
        <v>4</v>
      </c>
      <c r="C6" s="440" t="s">
        <v>256</v>
      </c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7">
        <f>P4-P5</f>
        <v>1284284</v>
      </c>
      <c r="Q6" s="448"/>
    </row>
    <row r="7" spans="2:17" s="8" customFormat="1" ht="15.6" customHeight="1" x14ac:dyDescent="0.2">
      <c r="B7" s="462">
        <v>5</v>
      </c>
      <c r="C7" s="339" t="s">
        <v>218</v>
      </c>
      <c r="D7" s="340"/>
      <c r="E7" s="340"/>
      <c r="F7" s="340"/>
      <c r="G7" s="340"/>
      <c r="H7" s="340"/>
      <c r="I7" s="340"/>
      <c r="J7" s="340"/>
      <c r="K7" s="340"/>
      <c r="L7" s="340"/>
      <c r="M7" s="387">
        <f>IF('Other Deduction'!E3=0,0,(IF(AND(P6&gt;50000,'Other Deduction'!E3=50000),50000,P6)))</f>
        <v>50000</v>
      </c>
      <c r="N7" s="387"/>
      <c r="O7" s="387"/>
      <c r="P7" s="498"/>
      <c r="Q7" s="499"/>
    </row>
    <row r="8" spans="2:17" s="8" customFormat="1" ht="15.6" customHeight="1" x14ac:dyDescent="0.2">
      <c r="B8" s="463"/>
      <c r="C8" s="339" t="s">
        <v>261</v>
      </c>
      <c r="D8" s="340"/>
      <c r="E8" s="340"/>
      <c r="F8" s="340"/>
      <c r="G8" s="340"/>
      <c r="H8" s="340"/>
      <c r="I8" s="340"/>
      <c r="J8" s="340"/>
      <c r="K8" s="340"/>
      <c r="L8" s="340"/>
      <c r="M8" s="387">
        <f>'Other Deduction'!B4</f>
        <v>0</v>
      </c>
      <c r="N8" s="387"/>
      <c r="O8" s="387"/>
      <c r="P8" s="500"/>
      <c r="Q8" s="501"/>
    </row>
    <row r="9" spans="2:17" s="8" customFormat="1" ht="15.6" customHeight="1" x14ac:dyDescent="0.2">
      <c r="B9" s="463"/>
      <c r="C9" s="339" t="s">
        <v>262</v>
      </c>
      <c r="D9" s="340"/>
      <c r="E9" s="340"/>
      <c r="F9" s="340"/>
      <c r="G9" s="340"/>
      <c r="H9" s="340"/>
      <c r="I9" s="340"/>
      <c r="J9" s="340"/>
      <c r="K9" s="340"/>
      <c r="L9" s="340"/>
      <c r="M9" s="387">
        <f>'Other Deduction'!B5</f>
        <v>0</v>
      </c>
      <c r="N9" s="387"/>
      <c r="O9" s="387"/>
      <c r="P9" s="502"/>
      <c r="Q9" s="503"/>
    </row>
    <row r="10" spans="2:17" s="8" customFormat="1" ht="15.6" customHeight="1" x14ac:dyDescent="0.2">
      <c r="B10" s="464"/>
      <c r="C10" s="414" t="s">
        <v>223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6"/>
      <c r="P10" s="447">
        <f>SUM(M7:O9)</f>
        <v>50000</v>
      </c>
      <c r="Q10" s="448"/>
    </row>
    <row r="11" spans="2:17" s="8" customFormat="1" ht="15.6" customHeight="1" x14ac:dyDescent="0.2">
      <c r="B11" s="133">
        <v>6</v>
      </c>
      <c r="C11" s="414" t="s">
        <v>224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6"/>
      <c r="P11" s="443">
        <f>P6-P10</f>
        <v>1234284</v>
      </c>
      <c r="Q11" s="444"/>
    </row>
    <row r="12" spans="2:17" s="8" customFormat="1" ht="15.6" customHeight="1" x14ac:dyDescent="0.2">
      <c r="B12" s="517">
        <v>7</v>
      </c>
      <c r="C12" s="442" t="s">
        <v>247</v>
      </c>
      <c r="D12" s="442"/>
      <c r="E12" s="442"/>
      <c r="F12" s="442"/>
      <c r="G12" s="442"/>
      <c r="H12" s="442"/>
      <c r="I12" s="442"/>
      <c r="J12" s="442"/>
      <c r="K12" s="383" t="s">
        <v>28</v>
      </c>
      <c r="L12" s="383"/>
      <c r="M12" s="387">
        <f>'Other Deduction'!B6</f>
        <v>0</v>
      </c>
      <c r="N12" s="387"/>
      <c r="O12" s="387"/>
      <c r="P12" s="395"/>
      <c r="Q12" s="396"/>
    </row>
    <row r="13" spans="2:17" s="8" customFormat="1" ht="15.6" customHeight="1" x14ac:dyDescent="0.2">
      <c r="B13" s="517"/>
      <c r="C13" s="397" t="s">
        <v>29</v>
      </c>
      <c r="D13" s="398"/>
      <c r="E13" s="401" t="s">
        <v>217</v>
      </c>
      <c r="F13" s="402"/>
      <c r="G13" s="403"/>
      <c r="H13" s="404" t="s">
        <v>11</v>
      </c>
      <c r="I13" s="404"/>
      <c r="J13" s="404"/>
      <c r="K13" s="383" t="s">
        <v>30</v>
      </c>
      <c r="L13" s="383"/>
      <c r="M13" s="383" t="s">
        <v>55</v>
      </c>
      <c r="N13" s="383"/>
      <c r="O13" s="383"/>
      <c r="P13" s="395"/>
      <c r="Q13" s="396"/>
    </row>
    <row r="14" spans="2:17" s="8" customFormat="1" ht="15.6" customHeight="1" x14ac:dyDescent="0.2">
      <c r="B14" s="517"/>
      <c r="C14" s="399"/>
      <c r="D14" s="400"/>
      <c r="E14" s="384">
        <f>ROUND(M12*0.3,0)</f>
        <v>0</v>
      </c>
      <c r="F14" s="385"/>
      <c r="G14" s="386"/>
      <c r="H14" s="387">
        <f>IF('Other Deduction'!B9&gt;200000,200000,'Other Deduction'!B9)</f>
        <v>0</v>
      </c>
      <c r="I14" s="387"/>
      <c r="J14" s="387"/>
      <c r="K14" s="387">
        <f>'Other Deduction'!B7</f>
        <v>0</v>
      </c>
      <c r="L14" s="387"/>
      <c r="M14" s="387">
        <f>E14+H14+K14</f>
        <v>0</v>
      </c>
      <c r="N14" s="387"/>
      <c r="O14" s="387"/>
      <c r="P14" s="395"/>
      <c r="Q14" s="396"/>
    </row>
    <row r="15" spans="2:17" s="8" customFormat="1" ht="15.6" customHeight="1" x14ac:dyDescent="0.2">
      <c r="B15" s="133"/>
      <c r="C15" s="414" t="s">
        <v>259</v>
      </c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6"/>
      <c r="P15" s="447">
        <f>M12-M14</f>
        <v>0</v>
      </c>
      <c r="Q15" s="448"/>
    </row>
    <row r="16" spans="2:17" s="8" customFormat="1" ht="15.6" customHeight="1" x14ac:dyDescent="0.2">
      <c r="B16" s="133">
        <v>8</v>
      </c>
      <c r="C16" s="414" t="s">
        <v>257</v>
      </c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6"/>
      <c r="P16" s="447">
        <f>P11+P15</f>
        <v>1234284</v>
      </c>
      <c r="Q16" s="448"/>
    </row>
    <row r="17" spans="2:17" s="8" customFormat="1" ht="15.6" customHeight="1" x14ac:dyDescent="0.2">
      <c r="B17" s="133">
        <v>9</v>
      </c>
      <c r="C17" s="417" t="s">
        <v>23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47">
        <f>'Other Deduction'!J6</f>
        <v>0</v>
      </c>
      <c r="Q17" s="448"/>
    </row>
    <row r="18" spans="2:17" s="8" customFormat="1" ht="15.6" customHeight="1" x14ac:dyDescent="0.2">
      <c r="B18" s="133">
        <v>10</v>
      </c>
      <c r="C18" s="360" t="s">
        <v>258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443">
        <f>P16+P17</f>
        <v>1234284</v>
      </c>
      <c r="Q18" s="444"/>
    </row>
    <row r="19" spans="2:17" s="8" customFormat="1" ht="15.6" customHeight="1" x14ac:dyDescent="0.2">
      <c r="B19" s="462">
        <v>11</v>
      </c>
      <c r="C19" s="360" t="s">
        <v>249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79"/>
    </row>
    <row r="20" spans="2:17" s="8" customFormat="1" ht="15.6" customHeight="1" x14ac:dyDescent="0.2">
      <c r="B20" s="463"/>
      <c r="C20" s="506" t="s">
        <v>263</v>
      </c>
      <c r="D20" s="506"/>
      <c r="E20" s="506"/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7"/>
    </row>
    <row r="21" spans="2:17" s="8" customFormat="1" ht="15.6" customHeight="1" x14ac:dyDescent="0.2">
      <c r="B21" s="463"/>
      <c r="C21" s="134" t="s">
        <v>31</v>
      </c>
      <c r="D21" s="372" t="s">
        <v>264</v>
      </c>
      <c r="E21" s="372"/>
      <c r="F21" s="372"/>
      <c r="G21" s="372"/>
      <c r="H21" s="515">
        <f>GA55A!Q28</f>
        <v>84000</v>
      </c>
      <c r="I21" s="516"/>
      <c r="J21" s="531" t="s">
        <v>34</v>
      </c>
      <c r="K21" s="525" t="s">
        <v>265</v>
      </c>
      <c r="L21" s="526"/>
      <c r="M21" s="527"/>
      <c r="N21" s="453">
        <v>0</v>
      </c>
      <c r="O21" s="454"/>
      <c r="P21" s="433"/>
      <c r="Q21" s="509"/>
    </row>
    <row r="22" spans="2:17" s="8" customFormat="1" ht="15.6" customHeight="1" x14ac:dyDescent="0.2">
      <c r="B22" s="463"/>
      <c r="C22" s="134" t="s">
        <v>33</v>
      </c>
      <c r="D22" s="339" t="s">
        <v>266</v>
      </c>
      <c r="E22" s="340"/>
      <c r="F22" s="340"/>
      <c r="G22" s="341"/>
      <c r="H22" s="515">
        <f>'Other Deduction'!B10+GA55A!T28</f>
        <v>20544</v>
      </c>
      <c r="I22" s="516"/>
      <c r="J22" s="532"/>
      <c r="K22" s="528"/>
      <c r="L22" s="529"/>
      <c r="M22" s="530"/>
      <c r="N22" s="455"/>
      <c r="O22" s="456"/>
      <c r="P22" s="510"/>
      <c r="Q22" s="511"/>
    </row>
    <row r="23" spans="2:17" s="8" customFormat="1" ht="15.6" customHeight="1" x14ac:dyDescent="0.2">
      <c r="B23" s="463"/>
      <c r="C23" s="134" t="s">
        <v>35</v>
      </c>
      <c r="D23" s="339" t="s">
        <v>267</v>
      </c>
      <c r="E23" s="340"/>
      <c r="F23" s="340"/>
      <c r="G23" s="341"/>
      <c r="H23" s="515">
        <f>'Other Deduction'!B14</f>
        <v>0</v>
      </c>
      <c r="I23" s="516"/>
      <c r="J23" s="134" t="s">
        <v>36</v>
      </c>
      <c r="K23" s="508" t="s">
        <v>268</v>
      </c>
      <c r="L23" s="508"/>
      <c r="M23" s="508"/>
      <c r="N23" s="451">
        <f>'Other Deduction'!E8</f>
        <v>0</v>
      </c>
      <c r="O23" s="452"/>
      <c r="P23" s="510"/>
      <c r="Q23" s="511"/>
    </row>
    <row r="24" spans="2:17" s="8" customFormat="1" ht="15.6" customHeight="1" x14ac:dyDescent="0.2">
      <c r="B24" s="463"/>
      <c r="C24" s="134" t="s">
        <v>37</v>
      </c>
      <c r="D24" s="339" t="s">
        <v>269</v>
      </c>
      <c r="E24" s="340"/>
      <c r="F24" s="340"/>
      <c r="G24" s="341"/>
      <c r="H24" s="515">
        <f>'Other Deduction'!B16</f>
        <v>0</v>
      </c>
      <c r="I24" s="516"/>
      <c r="J24" s="134" t="s">
        <v>38</v>
      </c>
      <c r="K24" s="508" t="s">
        <v>14</v>
      </c>
      <c r="L24" s="508"/>
      <c r="M24" s="508"/>
      <c r="N24" s="451">
        <f>'Other Deduction'!B15</f>
        <v>0</v>
      </c>
      <c r="O24" s="452"/>
      <c r="P24" s="510"/>
      <c r="Q24" s="511"/>
    </row>
    <row r="25" spans="2:17" s="8" customFormat="1" ht="15.6" customHeight="1" x14ac:dyDescent="0.2">
      <c r="B25" s="463"/>
      <c r="C25" s="134" t="s">
        <v>39</v>
      </c>
      <c r="D25" s="339" t="s">
        <v>270</v>
      </c>
      <c r="E25" s="340"/>
      <c r="F25" s="340"/>
      <c r="G25" s="341"/>
      <c r="H25" s="515">
        <f>'Other Deduction'!B17</f>
        <v>0</v>
      </c>
      <c r="I25" s="516"/>
      <c r="J25" s="134" t="s">
        <v>40</v>
      </c>
      <c r="K25" s="508" t="s">
        <v>71</v>
      </c>
      <c r="L25" s="508"/>
      <c r="M25" s="508"/>
      <c r="N25" s="451">
        <f>'Other Deduction'!B12</f>
        <v>0</v>
      </c>
      <c r="O25" s="452"/>
      <c r="P25" s="510"/>
      <c r="Q25" s="511"/>
    </row>
    <row r="26" spans="2:17" s="8" customFormat="1" ht="15.6" customHeight="1" x14ac:dyDescent="0.2">
      <c r="B26" s="463"/>
      <c r="C26" s="134" t="s">
        <v>41</v>
      </c>
      <c r="D26" s="512" t="str">
        <f>IF(Master!B11="NO","Gen.Provident Fund (GPF)","Gen.Prov.Fund (GPF 2004)")</f>
        <v>Gen.Provident Fund (GPF)</v>
      </c>
      <c r="E26" s="513"/>
      <c r="F26" s="513"/>
      <c r="G26" s="514"/>
      <c r="H26" s="515">
        <f>GA55A!O28</f>
        <v>71954</v>
      </c>
      <c r="I26" s="516"/>
      <c r="J26" s="134" t="s">
        <v>42</v>
      </c>
      <c r="K26" s="508" t="s">
        <v>72</v>
      </c>
      <c r="L26" s="508"/>
      <c r="M26" s="508"/>
      <c r="N26" s="451">
        <f>'Other Deduction'!B19</f>
        <v>0</v>
      </c>
      <c r="O26" s="452"/>
      <c r="P26" s="510"/>
      <c r="Q26" s="511"/>
    </row>
    <row r="27" spans="2:17" s="8" customFormat="1" ht="15.6" customHeight="1" x14ac:dyDescent="0.2">
      <c r="B27" s="463"/>
      <c r="C27" s="134" t="s">
        <v>43</v>
      </c>
      <c r="D27" s="339" t="s">
        <v>271</v>
      </c>
      <c r="E27" s="340"/>
      <c r="F27" s="340"/>
      <c r="G27" s="341"/>
      <c r="H27" s="451">
        <f>GA55A!U28</f>
        <v>700</v>
      </c>
      <c r="I27" s="452"/>
      <c r="J27" s="134" t="s">
        <v>44</v>
      </c>
      <c r="K27" s="508" t="s">
        <v>272</v>
      </c>
      <c r="L27" s="508"/>
      <c r="M27" s="508"/>
      <c r="N27" s="451">
        <f>'Other Deduction'!B20</f>
        <v>0</v>
      </c>
      <c r="O27" s="452"/>
      <c r="P27" s="510"/>
      <c r="Q27" s="511"/>
    </row>
    <row r="28" spans="2:17" s="8" customFormat="1" ht="15.6" customHeight="1" x14ac:dyDescent="0.2">
      <c r="B28" s="463"/>
      <c r="C28" s="134" t="s">
        <v>45</v>
      </c>
      <c r="D28" s="339" t="s">
        <v>9</v>
      </c>
      <c r="E28" s="340"/>
      <c r="F28" s="340"/>
      <c r="G28" s="341"/>
      <c r="H28" s="451">
        <f>'Other Deduction'!B13</f>
        <v>0</v>
      </c>
      <c r="I28" s="452"/>
      <c r="J28" s="134" t="s">
        <v>46</v>
      </c>
      <c r="K28" s="372" t="s">
        <v>273</v>
      </c>
      <c r="L28" s="372"/>
      <c r="M28" s="372"/>
      <c r="N28" s="451">
        <f>'Other Deduction'!B11</f>
        <v>0</v>
      </c>
      <c r="O28" s="452"/>
      <c r="P28" s="510"/>
      <c r="Q28" s="511"/>
    </row>
    <row r="29" spans="2:17" s="8" customFormat="1" ht="15.6" customHeight="1" x14ac:dyDescent="0.2">
      <c r="B29" s="463"/>
      <c r="C29" s="134" t="s">
        <v>47</v>
      </c>
      <c r="D29" s="372" t="s">
        <v>274</v>
      </c>
      <c r="E29" s="372"/>
      <c r="F29" s="372"/>
      <c r="G29" s="372"/>
      <c r="H29" s="451">
        <f>'Other Deduction'!B8</f>
        <v>0</v>
      </c>
      <c r="I29" s="452"/>
      <c r="J29" s="134" t="s">
        <v>103</v>
      </c>
      <c r="K29" s="372" t="s">
        <v>109</v>
      </c>
      <c r="L29" s="372"/>
      <c r="M29" s="372"/>
      <c r="N29" s="451">
        <f>'Other Deduction'!E7</f>
        <v>0</v>
      </c>
      <c r="O29" s="452"/>
      <c r="P29" s="510"/>
      <c r="Q29" s="511"/>
    </row>
    <row r="30" spans="2:17" s="8" customFormat="1" ht="15.6" customHeight="1" x14ac:dyDescent="0.2">
      <c r="B30" s="463"/>
      <c r="C30" s="134" t="s">
        <v>32</v>
      </c>
      <c r="D30" s="372" t="s">
        <v>104</v>
      </c>
      <c r="E30" s="372"/>
      <c r="F30" s="372"/>
      <c r="G30" s="372"/>
      <c r="H30" s="451">
        <f>'Other Deduction'!B18</f>
        <v>0</v>
      </c>
      <c r="I30" s="452"/>
      <c r="J30" s="134" t="s">
        <v>106</v>
      </c>
      <c r="K30" s="519" t="s">
        <v>275</v>
      </c>
      <c r="L30" s="520"/>
      <c r="M30" s="521"/>
      <c r="N30" s="457">
        <f>SUM(H21:I30)+SUM(N21:O29)</f>
        <v>177198</v>
      </c>
      <c r="O30" s="458"/>
      <c r="P30" s="510"/>
      <c r="Q30" s="511"/>
    </row>
    <row r="31" spans="2:17" s="8" customFormat="1" ht="15.6" customHeight="1" x14ac:dyDescent="0.2">
      <c r="B31" s="463"/>
      <c r="C31" s="440" t="s">
        <v>250</v>
      </c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3">
        <f>IF(N30&lt;150001,ROUND(N30,0),150000)</f>
        <v>150000</v>
      </c>
      <c r="Q31" s="444"/>
    </row>
    <row r="32" spans="2:17" s="8" customFormat="1" ht="15.6" customHeight="1" x14ac:dyDescent="0.2">
      <c r="B32" s="463"/>
      <c r="C32" s="522" t="s">
        <v>307</v>
      </c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4"/>
      <c r="P32" s="449">
        <v>0</v>
      </c>
      <c r="Q32" s="450"/>
    </row>
    <row r="33" spans="2:17" s="8" customFormat="1" ht="15.6" customHeight="1" x14ac:dyDescent="0.2">
      <c r="B33" s="463"/>
      <c r="C33" s="408" t="s">
        <v>227</v>
      </c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10"/>
      <c r="P33" s="447">
        <f>IF('Other Deduction'!E10&gt;=50000,50000,'Other Deduction'!E10)</f>
        <v>0</v>
      </c>
      <c r="Q33" s="448"/>
    </row>
    <row r="34" spans="2:17" s="8" customFormat="1" ht="15.6" customHeight="1" x14ac:dyDescent="0.25">
      <c r="B34" s="464"/>
      <c r="C34" s="411" t="s">
        <v>214</v>
      </c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3"/>
      <c r="P34" s="443">
        <f>SUM(P31:Q33)</f>
        <v>150000</v>
      </c>
      <c r="Q34" s="444"/>
    </row>
    <row r="35" spans="2:17" s="8" customFormat="1" ht="15.6" customHeight="1" x14ac:dyDescent="0.2">
      <c r="B35" s="462">
        <v>12</v>
      </c>
      <c r="C35" s="360" t="s">
        <v>75</v>
      </c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79"/>
    </row>
    <row r="36" spans="2:17" s="8" customFormat="1" ht="15.6" customHeight="1" x14ac:dyDescent="0.2">
      <c r="B36" s="463"/>
      <c r="C36" s="380" t="s">
        <v>276</v>
      </c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2"/>
      <c r="P36" s="447">
        <f>'Other Deduction'!E11</f>
        <v>0</v>
      </c>
      <c r="Q36" s="448"/>
    </row>
    <row r="37" spans="2:17" s="8" customFormat="1" ht="15.6" customHeight="1" x14ac:dyDescent="0.2">
      <c r="B37" s="463"/>
      <c r="C37" s="372" t="s">
        <v>277</v>
      </c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447">
        <f>'Other Deduction'!E12</f>
        <v>0</v>
      </c>
      <c r="Q37" s="448"/>
    </row>
    <row r="38" spans="2:17" s="8" customFormat="1" ht="15.6" customHeight="1" x14ac:dyDescent="0.2">
      <c r="B38" s="463"/>
      <c r="C38" s="465" t="s">
        <v>278</v>
      </c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47">
        <f>'Other Deduction'!E13</f>
        <v>0</v>
      </c>
      <c r="Q38" s="448"/>
    </row>
    <row r="39" spans="2:17" s="8" customFormat="1" ht="15.6" customHeight="1" x14ac:dyDescent="0.2">
      <c r="B39" s="463"/>
      <c r="C39" s="372" t="s">
        <v>279</v>
      </c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447">
        <f>'Other Deduction'!E14</f>
        <v>0</v>
      </c>
      <c r="Q39" s="448"/>
    </row>
    <row r="40" spans="2:17" s="8" customFormat="1" ht="15.6" customHeight="1" x14ac:dyDescent="0.2">
      <c r="B40" s="463"/>
      <c r="C40" s="372" t="s">
        <v>280</v>
      </c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447">
        <f>'Other Deduction'!E15</f>
        <v>0</v>
      </c>
      <c r="Q40" s="448"/>
    </row>
    <row r="41" spans="2:17" s="8" customFormat="1" ht="15.6" customHeight="1" x14ac:dyDescent="0.2">
      <c r="B41" s="463"/>
      <c r="C41" s="380" t="s">
        <v>281</v>
      </c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2"/>
      <c r="P41" s="447">
        <f>'Other Deduction'!E16</f>
        <v>0</v>
      </c>
      <c r="Q41" s="448"/>
    </row>
    <row r="42" spans="2:17" s="8" customFormat="1" ht="15.6" customHeight="1" x14ac:dyDescent="0.2">
      <c r="B42" s="463"/>
      <c r="C42" s="339" t="s">
        <v>282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1"/>
      <c r="P42" s="447">
        <f>IF(Master!B15="Yes",0,IF('Other Deduction'!E4&gt;10000,10000,'Other Deduction'!E4))</f>
        <v>0</v>
      </c>
      <c r="Q42" s="448"/>
    </row>
    <row r="43" spans="2:17" s="8" customFormat="1" ht="15.6" customHeight="1" x14ac:dyDescent="0.2">
      <c r="B43" s="463"/>
      <c r="C43" s="339" t="s">
        <v>283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1"/>
      <c r="P43" s="447">
        <f>IF(Master!B15="No",0,IF('Other Deduction'!J5&lt;50001,'Other Deduction'!J5,50000))</f>
        <v>0</v>
      </c>
      <c r="Q43" s="448"/>
    </row>
    <row r="44" spans="2:17" s="8" customFormat="1" ht="15.6" customHeight="1" x14ac:dyDescent="0.2">
      <c r="B44" s="463"/>
      <c r="C44" s="339" t="s">
        <v>335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1"/>
      <c r="P44" s="447">
        <f>'Other Deduction'!E17</f>
        <v>0</v>
      </c>
      <c r="Q44" s="448"/>
    </row>
    <row r="45" spans="2:17" s="8" customFormat="1" ht="15.6" customHeight="1" x14ac:dyDescent="0.2">
      <c r="B45" s="464"/>
      <c r="C45" s="369" t="s">
        <v>251</v>
      </c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466">
        <f>SUM(P36:Q44)</f>
        <v>0</v>
      </c>
      <c r="Q45" s="467"/>
    </row>
    <row r="46" spans="2:17" s="8" customFormat="1" ht="15.6" customHeight="1" x14ac:dyDescent="0.2">
      <c r="B46" s="133">
        <v>13</v>
      </c>
      <c r="C46" s="442" t="s">
        <v>284</v>
      </c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7">
        <f>P34+P45</f>
        <v>150000</v>
      </c>
      <c r="Q46" s="448"/>
    </row>
    <row r="47" spans="2:17" s="8" customFormat="1" ht="15.6" customHeight="1" x14ac:dyDescent="0.2">
      <c r="B47" s="133">
        <v>14</v>
      </c>
      <c r="C47" s="442" t="s">
        <v>285</v>
      </c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7">
        <f>(P18-P46)</f>
        <v>1084284</v>
      </c>
      <c r="Q47" s="448"/>
    </row>
    <row r="48" spans="2:17" s="8" customFormat="1" ht="15.6" customHeight="1" x14ac:dyDescent="0.2">
      <c r="B48" s="133">
        <v>15</v>
      </c>
      <c r="C48" s="360" t="s">
        <v>248</v>
      </c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443">
        <f>ROUND(P47,-1)</f>
        <v>1084280</v>
      </c>
      <c r="Q48" s="444"/>
    </row>
    <row r="49" spans="2:20" s="8" customFormat="1" ht="15.6" customHeight="1" x14ac:dyDescent="0.2">
      <c r="B49" s="462">
        <v>16</v>
      </c>
      <c r="C49" s="442" t="s">
        <v>286</v>
      </c>
      <c r="D49" s="442"/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72"/>
    </row>
    <row r="50" spans="2:20" s="8" customFormat="1" ht="15.6" customHeight="1" x14ac:dyDescent="0.2">
      <c r="B50" s="463"/>
      <c r="C50" s="473" t="s">
        <v>343</v>
      </c>
      <c r="D50" s="473"/>
      <c r="E50" s="473"/>
      <c r="F50" s="473"/>
      <c r="G50" s="473"/>
      <c r="H50" s="473" t="s">
        <v>287</v>
      </c>
      <c r="I50" s="473"/>
      <c r="J50" s="473"/>
      <c r="K50" s="473"/>
      <c r="L50" s="474" t="s">
        <v>58</v>
      </c>
      <c r="M50" s="475"/>
      <c r="N50" s="475"/>
      <c r="O50" s="476"/>
      <c r="P50" s="445"/>
      <c r="Q50" s="446"/>
    </row>
    <row r="51" spans="2:20" s="8" customFormat="1" ht="15.6" customHeight="1" x14ac:dyDescent="0.2">
      <c r="B51" s="463"/>
      <c r="C51" s="459" t="s">
        <v>340</v>
      </c>
      <c r="D51" s="461"/>
      <c r="E51" s="460"/>
      <c r="F51" s="459" t="s">
        <v>48</v>
      </c>
      <c r="G51" s="460"/>
      <c r="H51" s="459" t="s">
        <v>340</v>
      </c>
      <c r="I51" s="461"/>
      <c r="J51" s="460"/>
      <c r="K51" s="122" t="s">
        <v>48</v>
      </c>
      <c r="L51" s="459" t="s">
        <v>342</v>
      </c>
      <c r="M51" s="461"/>
      <c r="N51" s="460"/>
      <c r="O51" s="122" t="s">
        <v>48</v>
      </c>
      <c r="P51" s="447">
        <v>0</v>
      </c>
      <c r="Q51" s="448"/>
    </row>
    <row r="52" spans="2:20" s="8" customFormat="1" ht="15.6" customHeight="1" x14ac:dyDescent="0.2">
      <c r="B52" s="463"/>
      <c r="C52" s="346" t="s">
        <v>68</v>
      </c>
      <c r="D52" s="346"/>
      <c r="E52" s="346"/>
      <c r="F52" s="482" t="s">
        <v>48</v>
      </c>
      <c r="G52" s="483"/>
      <c r="H52" s="346" t="s">
        <v>68</v>
      </c>
      <c r="I52" s="346"/>
      <c r="J52" s="346"/>
      <c r="K52" s="124">
        <v>0.05</v>
      </c>
      <c r="L52" s="459" t="s">
        <v>49</v>
      </c>
      <c r="M52" s="461"/>
      <c r="N52" s="460"/>
      <c r="O52" s="124">
        <v>0.05</v>
      </c>
      <c r="P52" s="447">
        <f>ROUND(IF(Master!$B$15="NO",IF(P48&lt;250001,0,IF(P48&gt;500000,12500,((P48-250000)*0.05))),IF(P48&lt;300001,0,IF(P48&gt;500000,10000,((P48-300000)*0.05)))),0)</f>
        <v>12500</v>
      </c>
      <c r="Q52" s="448"/>
    </row>
    <row r="53" spans="2:20" s="8" customFormat="1" ht="15.6" customHeight="1" x14ac:dyDescent="0.2">
      <c r="B53" s="463"/>
      <c r="C53" s="459" t="s">
        <v>50</v>
      </c>
      <c r="D53" s="461"/>
      <c r="E53" s="460"/>
      <c r="F53" s="345">
        <v>0.2</v>
      </c>
      <c r="G53" s="346"/>
      <c r="H53" s="346" t="s">
        <v>50</v>
      </c>
      <c r="I53" s="346"/>
      <c r="J53" s="346"/>
      <c r="K53" s="124">
        <v>0.2</v>
      </c>
      <c r="L53" s="459" t="s">
        <v>50</v>
      </c>
      <c r="M53" s="461"/>
      <c r="N53" s="460"/>
      <c r="O53" s="124">
        <v>0.2</v>
      </c>
      <c r="P53" s="447">
        <f>IF(P48&lt;500001,0,IF(P48&gt;1000000,100000,((P48-500000)*0.2)))</f>
        <v>100000</v>
      </c>
      <c r="Q53" s="448"/>
    </row>
    <row r="54" spans="2:20" s="8" customFormat="1" ht="15.6" customHeight="1" x14ac:dyDescent="0.2">
      <c r="B54" s="463"/>
      <c r="C54" s="459" t="s">
        <v>339</v>
      </c>
      <c r="D54" s="461"/>
      <c r="E54" s="460"/>
      <c r="F54" s="345">
        <v>0.3</v>
      </c>
      <c r="G54" s="346"/>
      <c r="H54" s="346" t="s">
        <v>339</v>
      </c>
      <c r="I54" s="346"/>
      <c r="J54" s="346"/>
      <c r="K54" s="124">
        <v>0.3</v>
      </c>
      <c r="L54" s="484" t="s">
        <v>341</v>
      </c>
      <c r="M54" s="485"/>
      <c r="N54" s="486"/>
      <c r="O54" s="124">
        <v>0.3</v>
      </c>
      <c r="P54" s="447">
        <f>IF(P48&lt;1000001,0,((P48-1000000)*0.3))</f>
        <v>25284</v>
      </c>
      <c r="Q54" s="448"/>
    </row>
    <row r="55" spans="2:20" s="8" customFormat="1" ht="15.6" customHeight="1" x14ac:dyDescent="0.2">
      <c r="B55" s="463"/>
      <c r="C55" s="469" t="s">
        <v>56</v>
      </c>
      <c r="D55" s="470"/>
      <c r="E55" s="470"/>
      <c r="F55" s="470"/>
      <c r="G55" s="470"/>
      <c r="H55" s="470"/>
      <c r="I55" s="470"/>
      <c r="J55" s="470"/>
      <c r="K55" s="470"/>
      <c r="L55" s="470"/>
      <c r="M55" s="470"/>
      <c r="N55" s="470"/>
      <c r="O55" s="471"/>
      <c r="P55" s="316">
        <f>SUM(P51:Q54)</f>
        <v>137784</v>
      </c>
      <c r="Q55" s="317"/>
    </row>
    <row r="56" spans="2:20" s="8" customFormat="1" ht="15.6" customHeight="1" x14ac:dyDescent="0.2">
      <c r="B56" s="463"/>
      <c r="C56" s="477" t="s">
        <v>254</v>
      </c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9"/>
      <c r="P56" s="355">
        <f>IF(P48&gt;500000,0,IF(P55&lt;12501,P55,12500))</f>
        <v>0</v>
      </c>
      <c r="Q56" s="356"/>
      <c r="T56" s="203"/>
    </row>
    <row r="57" spans="2:20" s="8" customFormat="1" ht="15.6" customHeight="1" x14ac:dyDescent="0.2">
      <c r="B57" s="463"/>
      <c r="C57" s="469" t="s">
        <v>252</v>
      </c>
      <c r="D57" s="470"/>
      <c r="E57" s="470"/>
      <c r="F57" s="470"/>
      <c r="G57" s="470"/>
      <c r="H57" s="470"/>
      <c r="I57" s="470"/>
      <c r="J57" s="470"/>
      <c r="K57" s="470"/>
      <c r="L57" s="470"/>
      <c r="M57" s="470"/>
      <c r="N57" s="470"/>
      <c r="O57" s="471"/>
      <c r="P57" s="316">
        <f>P55-P56</f>
        <v>137784</v>
      </c>
      <c r="Q57" s="317"/>
    </row>
    <row r="58" spans="2:20" s="8" customFormat="1" ht="15.6" customHeight="1" x14ac:dyDescent="0.2">
      <c r="B58" s="463"/>
      <c r="C58" s="337" t="s">
        <v>255</v>
      </c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55">
        <f>ROUND(P57*0.04,0)</f>
        <v>5511</v>
      </c>
      <c r="Q58" s="356"/>
    </row>
    <row r="59" spans="2:20" s="8" customFormat="1" ht="15.6" customHeight="1" x14ac:dyDescent="0.2">
      <c r="B59" s="464"/>
      <c r="C59" s="338" t="s">
        <v>253</v>
      </c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443">
        <f>SUM(P57:Q58)</f>
        <v>143295</v>
      </c>
      <c r="Q59" s="444"/>
    </row>
    <row r="60" spans="2:20" s="8" customFormat="1" ht="15.6" customHeight="1" x14ac:dyDescent="0.2">
      <c r="B60" s="133">
        <v>17</v>
      </c>
      <c r="C60" s="490" t="s">
        <v>288</v>
      </c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2"/>
      <c r="P60" s="355">
        <f>'Other Deduction'!E18</f>
        <v>0</v>
      </c>
      <c r="Q60" s="356"/>
    </row>
    <row r="61" spans="2:20" s="8" customFormat="1" ht="15.6" customHeight="1" x14ac:dyDescent="0.2">
      <c r="B61" s="133">
        <v>18</v>
      </c>
      <c r="C61" s="493" t="s">
        <v>59</v>
      </c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O61" s="493"/>
      <c r="P61" s="316">
        <f>P59-P60</f>
        <v>143295</v>
      </c>
      <c r="Q61" s="317"/>
    </row>
    <row r="62" spans="2:20" ht="30" customHeight="1" x14ac:dyDescent="0.2">
      <c r="B62" s="462">
        <v>19</v>
      </c>
      <c r="C62" s="494" t="s">
        <v>51</v>
      </c>
      <c r="D62" s="494"/>
      <c r="E62" s="495"/>
      <c r="F62" s="367" t="s">
        <v>331</v>
      </c>
      <c r="G62" s="367"/>
      <c r="H62" s="367"/>
      <c r="I62" s="367"/>
      <c r="J62" s="347" t="s">
        <v>332</v>
      </c>
      <c r="K62" s="368"/>
      <c r="L62" s="119" t="s">
        <v>333</v>
      </c>
      <c r="M62" s="347" t="s">
        <v>334</v>
      </c>
      <c r="N62" s="368"/>
      <c r="O62" s="135" t="s">
        <v>60</v>
      </c>
      <c r="P62" s="480" t="s">
        <v>289</v>
      </c>
      <c r="Q62" s="481"/>
    </row>
    <row r="63" spans="2:20" ht="15.6" customHeight="1" x14ac:dyDescent="0.2">
      <c r="B63" s="464"/>
      <c r="C63" s="496"/>
      <c r="D63" s="496"/>
      <c r="E63" s="497"/>
      <c r="F63" s="357">
        <f>SUM(GA55A!V8:V14)</f>
        <v>56000</v>
      </c>
      <c r="G63" s="357"/>
      <c r="H63" s="357"/>
      <c r="I63" s="357"/>
      <c r="J63" s="357">
        <f>SUM(GA55A!V15:V17)</f>
        <v>24000</v>
      </c>
      <c r="K63" s="357"/>
      <c r="L63" s="120">
        <f>GA55A!V18</f>
        <v>8000</v>
      </c>
      <c r="M63" s="357">
        <f>GA55A!V19</f>
        <v>8000</v>
      </c>
      <c r="N63" s="357"/>
      <c r="O63" s="121">
        <f>SUM(GA55A!V20:V27)+'Other Deduction'!E19</f>
        <v>0</v>
      </c>
      <c r="P63" s="318">
        <f>F63+J63+L63+M63+O63</f>
        <v>96000</v>
      </c>
      <c r="Q63" s="319"/>
    </row>
    <row r="64" spans="2:20" ht="15.6" customHeight="1" thickBot="1" x14ac:dyDescent="0.25">
      <c r="B64" s="487" t="str">
        <f>IF(P61&gt;P63,"Income Tax Payable (Old Tax Regime)",IF(P61&lt;P63,"Income Tax Refundable (Old Tax Regime)","Income Tax Payble/Refundable (Old Tax Regime)"))</f>
        <v>Income Tax Payable (Old Tax Regime)</v>
      </c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9"/>
      <c r="P64" s="320">
        <f>P61-P63</f>
        <v>47295</v>
      </c>
      <c r="Q64" s="321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85" t="s">
        <v>53</v>
      </c>
      <c r="O66" s="185" t="s">
        <v>54</v>
      </c>
    </row>
    <row r="67" spans="1:18" s="65" customFormat="1" ht="56.25" customHeight="1" x14ac:dyDescent="0.3">
      <c r="A67" s="418" t="s">
        <v>290</v>
      </c>
      <c r="B67" s="418"/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</row>
    <row r="68" spans="1:18" ht="15.75" hidden="1" customHeight="1" x14ac:dyDescent="0.2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8" ht="15.75" hidden="1" customHeight="1" x14ac:dyDescent="0.2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8" ht="24" hidden="1" customHeight="1" x14ac:dyDescent="0.2"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8" ht="15.75" hidden="1" customHeight="1" x14ac:dyDescent="0.2">
      <c r="L71" s="468"/>
      <c r="M71" s="468"/>
      <c r="N71" s="468"/>
      <c r="O71" s="468"/>
      <c r="P71" s="468"/>
      <c r="Q71" s="468"/>
    </row>
    <row r="72" spans="1:18" ht="15.75" hidden="1" customHeight="1" x14ac:dyDescent="0.2">
      <c r="L72" s="468"/>
      <c r="M72" s="468"/>
      <c r="N72" s="468"/>
      <c r="O72" s="468"/>
      <c r="P72" s="468"/>
      <c r="Q72" s="468"/>
    </row>
    <row r="73" spans="1:18" ht="15.75" hidden="1" customHeight="1" x14ac:dyDescent="0.2">
      <c r="L73" s="468"/>
      <c r="M73" s="468"/>
      <c r="N73" s="468"/>
      <c r="O73" s="468"/>
      <c r="P73" s="468"/>
      <c r="Q73" s="468"/>
    </row>
    <row r="74" spans="1:18" ht="15.75" hidden="1" customHeight="1" x14ac:dyDescent="0.2">
      <c r="L74" s="468"/>
      <c r="M74" s="468"/>
      <c r="N74" s="468"/>
      <c r="O74" s="468"/>
      <c r="P74" s="468"/>
      <c r="Q74" s="468"/>
    </row>
    <row r="75" spans="1:18" ht="15.75" hidden="1" customHeight="1" x14ac:dyDescent="0.2">
      <c r="L75" s="468"/>
      <c r="M75" s="468"/>
      <c r="N75" s="468"/>
      <c r="O75" s="468"/>
      <c r="P75" s="468"/>
      <c r="Q75" s="468"/>
    </row>
    <row r="76" spans="1:18" hidden="1" x14ac:dyDescent="0.2">
      <c r="D76" s="518"/>
      <c r="E76" s="518"/>
      <c r="F76" s="518"/>
      <c r="G76" s="518"/>
      <c r="H76" s="518"/>
      <c r="I76" s="518"/>
      <c r="J76" s="518"/>
      <c r="L76" s="468"/>
      <c r="M76" s="468"/>
      <c r="N76" s="468"/>
      <c r="O76" s="468"/>
      <c r="P76" s="468"/>
      <c r="Q76" s="468"/>
    </row>
    <row r="77" spans="1:18" hidden="1" x14ac:dyDescent="0.2">
      <c r="L77" s="468"/>
      <c r="M77" s="468"/>
      <c r="N77" s="468"/>
      <c r="O77" s="468"/>
      <c r="P77" s="468"/>
      <c r="Q77" s="468"/>
    </row>
    <row r="78" spans="1:18" hidden="1" x14ac:dyDescent="0.2">
      <c r="A78" s="25"/>
      <c r="B78" s="8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bBB33LLtOegUntH6+cob9vT6a4jqV7wbV9ySyQaq9+SYgG/Oc0WUIU1rE2mFvyeFRgW6WQiAxG5MGoH9mJ7Dvw==" saltValue="Anwz6auahrojH+QG+ye6ww==" spinCount="100000" sheet="1" objects="1" scenarios="1" formatColumns="0" selectLockedCells="1"/>
  <customSheetViews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GA55A!Print_Area</vt:lpstr>
      <vt:lpstr>Master!Print_Area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2023-11-02T19:20:07Z</cp:lastPrinted>
  <dcterms:created xsi:type="dcterms:W3CDTF">2013-12-06T08:14:36Z</dcterms:created>
  <dcterms:modified xsi:type="dcterms:W3CDTF">2023-12-11T17:45:53Z</dcterms:modified>
</cp:coreProperties>
</file>