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workbookProtection workbookAlgorithmName="SHA-512" workbookHashValue="um3cHVFxBLracIF1M7b6EkjxLrsMyjaJC5I4yj6jGtbqZ/ACwfaWfvsrE3aEXC6sCCCFoSwUVm+l1TABMn++uw==" workbookSaltValue="/oKcso+z33igdvACsxifwQ==" workbookSpinCount="100000" lockStructure="1"/>
  <bookViews>
    <workbookView xWindow="0" yWindow="0" windowWidth="28800" windowHeight="12435"/>
  </bookViews>
  <sheets>
    <sheet name="Arrear Sheet" sheetId="4" r:id="rId1"/>
  </sheets>
  <definedNames>
    <definedName name="_xlnm.Print_Area" localSheetId="0">'Arrear Sheet'!$B$7:$AD$1048576</definedName>
    <definedName name="_xlnm.Print_Titles" localSheetId="0">'Arrear Sheet'!$10:$12</definedName>
  </definedNames>
  <calcPr calcId="152511" concurrentCalc="0"/>
</workbook>
</file>

<file path=xl/calcChain.xml><?xml version="1.0" encoding="utf-8"?>
<calcChain xmlns="http://schemas.openxmlformats.org/spreadsheetml/2006/main">
  <c r="Y13" i="4" l="1"/>
  <c r="AO58" i="4"/>
  <c r="AO57" i="4"/>
  <c r="AO56" i="4"/>
  <c r="AO55" i="4"/>
  <c r="AO54" i="4"/>
  <c r="AO53" i="4"/>
  <c r="AO52" i="4"/>
  <c r="AO51" i="4"/>
  <c r="AO50" i="4"/>
  <c r="AO49" i="4"/>
  <c r="AO48" i="4"/>
  <c r="AO47" i="4"/>
  <c r="AO46" i="4"/>
  <c r="AO45" i="4"/>
  <c r="AO44" i="4"/>
  <c r="AO43" i="4"/>
  <c r="AO42" i="4"/>
  <c r="AO41" i="4"/>
  <c r="AO40" i="4"/>
  <c r="AO39" i="4"/>
  <c r="AO38" i="4"/>
  <c r="AO37" i="4"/>
  <c r="AO36" i="4"/>
  <c r="AO35" i="4"/>
  <c r="AO34" i="4"/>
  <c r="AO33" i="4"/>
  <c r="AO32" i="4"/>
  <c r="AO31" i="4"/>
  <c r="AO30" i="4"/>
  <c r="AO29" i="4"/>
  <c r="AO28" i="4"/>
  <c r="AO27" i="4"/>
  <c r="AO26" i="4"/>
  <c r="AO25" i="4"/>
  <c r="AO24" i="4"/>
  <c r="AO23" i="4"/>
  <c r="AO22" i="4"/>
  <c r="AO21" i="4"/>
  <c r="AO20" i="4"/>
  <c r="AO19" i="4"/>
  <c r="AO18" i="4"/>
  <c r="AO17" i="4"/>
  <c r="AO16" i="4"/>
  <c r="AO15" i="4"/>
  <c r="AO14" i="4"/>
  <c r="AO13" i="4"/>
  <c r="AC9" i="4"/>
  <c r="P9" i="4"/>
  <c r="F9" i="4"/>
  <c r="AG4" i="4"/>
  <c r="B13" i="4"/>
  <c r="AG13" i="4"/>
  <c r="AG14" i="4"/>
  <c r="AN4" i="4"/>
  <c r="B14" i="4"/>
  <c r="AG15" i="4"/>
  <c r="B15" i="4"/>
  <c r="E15" i="4"/>
  <c r="AA15" i="4"/>
  <c r="AG16" i="4"/>
  <c r="B16" i="4"/>
  <c r="E16" i="4"/>
  <c r="AA16" i="4"/>
  <c r="E13" i="4"/>
  <c r="AI13" i="4"/>
  <c r="AH4" i="4"/>
  <c r="AH5" i="4"/>
  <c r="AI5" i="4"/>
  <c r="AI4" i="4"/>
  <c r="AJ4" i="4"/>
  <c r="K13" i="4"/>
  <c r="L13" i="4"/>
  <c r="AJ13" i="4"/>
  <c r="M13" i="4"/>
  <c r="E14" i="4"/>
  <c r="C14" i="4"/>
  <c r="K14" i="4"/>
  <c r="AI14" i="4"/>
  <c r="L14" i="4"/>
  <c r="AJ14" i="4"/>
  <c r="M14" i="4"/>
  <c r="C15" i="4"/>
  <c r="K15" i="4"/>
  <c r="AI15" i="4"/>
  <c r="L15" i="4"/>
  <c r="AJ15" i="4"/>
  <c r="M15" i="4"/>
  <c r="C16" i="4"/>
  <c r="K16" i="4"/>
  <c r="AI16" i="4"/>
  <c r="L16" i="4"/>
  <c r="AJ16" i="4"/>
  <c r="M16" i="4"/>
  <c r="AG17" i="4"/>
  <c r="B17" i="4"/>
  <c r="E17" i="4"/>
  <c r="C17" i="4"/>
  <c r="K17" i="4"/>
  <c r="AI17" i="4"/>
  <c r="L17" i="4"/>
  <c r="AJ17" i="4"/>
  <c r="M17" i="4"/>
  <c r="AG18" i="4"/>
  <c r="B18" i="4"/>
  <c r="E18" i="4"/>
  <c r="C18" i="4"/>
  <c r="K18" i="4"/>
  <c r="AI18" i="4"/>
  <c r="L18" i="4"/>
  <c r="AJ18" i="4"/>
  <c r="M18" i="4"/>
  <c r="AG19" i="4"/>
  <c r="B19" i="4"/>
  <c r="E19" i="4"/>
  <c r="C19" i="4"/>
  <c r="K19" i="4"/>
  <c r="AI19" i="4"/>
  <c r="L19" i="4"/>
  <c r="AJ19" i="4"/>
  <c r="M19" i="4"/>
  <c r="AG20" i="4"/>
  <c r="B20" i="4"/>
  <c r="E20" i="4"/>
  <c r="C20" i="4"/>
  <c r="K20" i="4"/>
  <c r="AI20" i="4"/>
  <c r="L20" i="4"/>
  <c r="AJ20" i="4"/>
  <c r="M20" i="4"/>
  <c r="F14" i="4"/>
  <c r="AK14" i="4"/>
  <c r="U14" i="4"/>
  <c r="F13" i="4"/>
  <c r="AK13" i="4"/>
  <c r="U13" i="4"/>
  <c r="AG21" i="4"/>
  <c r="B21" i="4"/>
  <c r="AG22" i="4"/>
  <c r="B22" i="4"/>
  <c r="AG23" i="4"/>
  <c r="B23" i="4"/>
  <c r="AG24" i="4"/>
  <c r="B24" i="4"/>
  <c r="AG25" i="4"/>
  <c r="B25" i="4"/>
  <c r="AG26" i="4"/>
  <c r="B26" i="4"/>
  <c r="AG27" i="4"/>
  <c r="B27" i="4"/>
  <c r="AG28" i="4"/>
  <c r="B28" i="4"/>
  <c r="AG29" i="4"/>
  <c r="B29" i="4"/>
  <c r="AG30" i="4"/>
  <c r="B30" i="4"/>
  <c r="AG31" i="4"/>
  <c r="B31" i="4"/>
  <c r="AG32" i="4"/>
  <c r="B32" i="4"/>
  <c r="AG33" i="4"/>
  <c r="B33" i="4"/>
  <c r="AG34" i="4"/>
  <c r="B34" i="4"/>
  <c r="AG35" i="4"/>
  <c r="B35" i="4"/>
  <c r="AG36" i="4"/>
  <c r="B36" i="4"/>
  <c r="AG37" i="4"/>
  <c r="B37" i="4"/>
  <c r="AG38" i="4"/>
  <c r="B38" i="4"/>
  <c r="AG39" i="4"/>
  <c r="B39" i="4"/>
  <c r="AG40" i="4"/>
  <c r="B40" i="4"/>
  <c r="AG41" i="4"/>
  <c r="B41" i="4"/>
  <c r="AG42" i="4"/>
  <c r="B42" i="4"/>
  <c r="AG43" i="4"/>
  <c r="B43" i="4"/>
  <c r="AG44" i="4"/>
  <c r="B44" i="4"/>
  <c r="AG45" i="4"/>
  <c r="B45" i="4"/>
  <c r="AG46" i="4"/>
  <c r="B46" i="4"/>
  <c r="AG47" i="4"/>
  <c r="B47" i="4"/>
  <c r="AG48" i="4"/>
  <c r="B48" i="4"/>
  <c r="AG49" i="4"/>
  <c r="B49" i="4"/>
  <c r="AG50" i="4"/>
  <c r="B50" i="4"/>
  <c r="AG51" i="4"/>
  <c r="B51" i="4"/>
  <c r="AG52" i="4"/>
  <c r="B52" i="4"/>
  <c r="AG53" i="4"/>
  <c r="B53" i="4"/>
  <c r="AG54" i="4"/>
  <c r="B54" i="4"/>
  <c r="AG55" i="4"/>
  <c r="B55" i="4"/>
  <c r="AG56" i="4"/>
  <c r="B56" i="4"/>
  <c r="AG57" i="4"/>
  <c r="B57" i="4"/>
  <c r="AG58" i="4"/>
  <c r="B58" i="4"/>
  <c r="AG59" i="4"/>
  <c r="B59" i="4"/>
  <c r="AG60" i="4"/>
  <c r="B60" i="4"/>
  <c r="AG61" i="4"/>
  <c r="B61" i="4"/>
  <c r="AG62" i="4"/>
  <c r="B62" i="4"/>
  <c r="AG63" i="4"/>
  <c r="B63" i="4"/>
  <c r="AG64" i="4"/>
  <c r="B64" i="4"/>
  <c r="AG65" i="4"/>
  <c r="B65" i="4"/>
  <c r="AG66" i="4"/>
  <c r="B66" i="4"/>
  <c r="AG67" i="4"/>
  <c r="B67" i="4"/>
  <c r="AG68" i="4"/>
  <c r="B68" i="4"/>
  <c r="AG69" i="4"/>
  <c r="B69" i="4"/>
  <c r="AG70" i="4"/>
  <c r="B70" i="4"/>
  <c r="AG71" i="4"/>
  <c r="B71" i="4"/>
  <c r="AG72" i="4"/>
  <c r="B72" i="4"/>
  <c r="AG73" i="4"/>
  <c r="B73" i="4"/>
  <c r="E73" i="4"/>
  <c r="F15" i="4"/>
  <c r="AK15" i="4"/>
  <c r="U15" i="4"/>
  <c r="F16" i="4"/>
  <c r="AK16" i="4"/>
  <c r="U16" i="4"/>
  <c r="F17" i="4"/>
  <c r="AK17" i="4"/>
  <c r="U17" i="4"/>
  <c r="F18" i="4"/>
  <c r="AK18" i="4"/>
  <c r="U18" i="4"/>
  <c r="F19" i="4"/>
  <c r="AK19" i="4"/>
  <c r="U19" i="4"/>
  <c r="F20" i="4"/>
  <c r="AK20" i="4"/>
  <c r="U20" i="4"/>
  <c r="E21" i="4"/>
  <c r="C21" i="4"/>
  <c r="F21" i="4"/>
  <c r="AK21" i="4"/>
  <c r="U21" i="4"/>
  <c r="E22" i="4"/>
  <c r="C22" i="4"/>
  <c r="F22" i="4"/>
  <c r="AK22" i="4"/>
  <c r="U22" i="4"/>
  <c r="E23" i="4"/>
  <c r="C23" i="4"/>
  <c r="F23" i="4"/>
  <c r="AK23" i="4"/>
  <c r="U23" i="4"/>
  <c r="E24" i="4"/>
  <c r="C24" i="4"/>
  <c r="F24" i="4"/>
  <c r="AK24" i="4"/>
  <c r="U24" i="4"/>
  <c r="E25" i="4"/>
  <c r="C25" i="4"/>
  <c r="F25" i="4"/>
  <c r="AK25" i="4"/>
  <c r="U25" i="4"/>
  <c r="E26" i="4"/>
  <c r="C26" i="4"/>
  <c r="F26" i="4"/>
  <c r="AK26" i="4"/>
  <c r="U26" i="4"/>
  <c r="E27" i="4"/>
  <c r="C27" i="4"/>
  <c r="F27" i="4"/>
  <c r="AK27" i="4"/>
  <c r="U27" i="4"/>
  <c r="E28" i="4"/>
  <c r="C28" i="4"/>
  <c r="F28" i="4"/>
  <c r="AK28" i="4"/>
  <c r="U28" i="4"/>
  <c r="E29" i="4"/>
  <c r="C29" i="4"/>
  <c r="F29" i="4"/>
  <c r="AK29" i="4"/>
  <c r="U29" i="4"/>
  <c r="E30" i="4"/>
  <c r="C30" i="4"/>
  <c r="F30" i="4"/>
  <c r="AK30" i="4"/>
  <c r="U30" i="4"/>
  <c r="E31" i="4"/>
  <c r="C31" i="4"/>
  <c r="F31" i="4"/>
  <c r="AK31" i="4"/>
  <c r="U31" i="4"/>
  <c r="E32" i="4"/>
  <c r="C32" i="4"/>
  <c r="F32" i="4"/>
  <c r="AK32" i="4"/>
  <c r="U32" i="4"/>
  <c r="E33" i="4"/>
  <c r="C33" i="4"/>
  <c r="F33" i="4"/>
  <c r="AK33" i="4"/>
  <c r="U33" i="4"/>
  <c r="E34" i="4"/>
  <c r="C34" i="4"/>
  <c r="F34" i="4"/>
  <c r="AK34" i="4"/>
  <c r="U34" i="4"/>
  <c r="E35" i="4"/>
  <c r="C35" i="4"/>
  <c r="F35" i="4"/>
  <c r="AK35" i="4"/>
  <c r="U35" i="4"/>
  <c r="E36" i="4"/>
  <c r="C36" i="4"/>
  <c r="F36" i="4"/>
  <c r="AK36" i="4"/>
  <c r="U36" i="4"/>
  <c r="E37" i="4"/>
  <c r="C37" i="4"/>
  <c r="F37" i="4"/>
  <c r="AK37" i="4"/>
  <c r="U37" i="4"/>
  <c r="E38" i="4"/>
  <c r="C38" i="4"/>
  <c r="F38" i="4"/>
  <c r="AK38" i="4"/>
  <c r="U38" i="4"/>
  <c r="E39" i="4"/>
  <c r="C39" i="4"/>
  <c r="F39" i="4"/>
  <c r="AK39" i="4"/>
  <c r="U39" i="4"/>
  <c r="E40" i="4"/>
  <c r="C40" i="4"/>
  <c r="F40" i="4"/>
  <c r="AK40" i="4"/>
  <c r="U40" i="4"/>
  <c r="E41" i="4"/>
  <c r="C41" i="4"/>
  <c r="F41" i="4"/>
  <c r="AK41" i="4"/>
  <c r="U41" i="4"/>
  <c r="E42" i="4"/>
  <c r="C42" i="4"/>
  <c r="F42" i="4"/>
  <c r="AK42" i="4"/>
  <c r="U42" i="4"/>
  <c r="E43" i="4"/>
  <c r="C43" i="4"/>
  <c r="F43" i="4"/>
  <c r="AK43" i="4"/>
  <c r="U43" i="4"/>
  <c r="E44" i="4"/>
  <c r="C44" i="4"/>
  <c r="F44" i="4"/>
  <c r="AK44" i="4"/>
  <c r="U44" i="4"/>
  <c r="E45" i="4"/>
  <c r="C45" i="4"/>
  <c r="F45" i="4"/>
  <c r="AK45" i="4"/>
  <c r="U45" i="4"/>
  <c r="E46" i="4"/>
  <c r="C46" i="4"/>
  <c r="F46" i="4"/>
  <c r="AK46" i="4"/>
  <c r="U46" i="4"/>
  <c r="E47" i="4"/>
  <c r="C47" i="4"/>
  <c r="F47" i="4"/>
  <c r="AK47" i="4"/>
  <c r="U47" i="4"/>
  <c r="E48" i="4"/>
  <c r="C48" i="4"/>
  <c r="F48" i="4"/>
  <c r="AK48" i="4"/>
  <c r="U48" i="4"/>
  <c r="E49" i="4"/>
  <c r="C49" i="4"/>
  <c r="F49" i="4"/>
  <c r="AK49" i="4"/>
  <c r="U49" i="4"/>
  <c r="E50" i="4"/>
  <c r="C50" i="4"/>
  <c r="F50" i="4"/>
  <c r="AK50" i="4"/>
  <c r="U50" i="4"/>
  <c r="E51" i="4"/>
  <c r="C51" i="4"/>
  <c r="F51" i="4"/>
  <c r="AK51" i="4"/>
  <c r="U51" i="4"/>
  <c r="E52" i="4"/>
  <c r="C52" i="4"/>
  <c r="F52" i="4"/>
  <c r="AK52" i="4"/>
  <c r="U52" i="4"/>
  <c r="E53" i="4"/>
  <c r="C53" i="4"/>
  <c r="F53" i="4"/>
  <c r="AK53" i="4"/>
  <c r="U53" i="4"/>
  <c r="E54" i="4"/>
  <c r="C54" i="4"/>
  <c r="F54" i="4"/>
  <c r="AK54" i="4"/>
  <c r="U54" i="4"/>
  <c r="E55" i="4"/>
  <c r="C55" i="4"/>
  <c r="F55" i="4"/>
  <c r="AK55" i="4"/>
  <c r="U55" i="4"/>
  <c r="E56" i="4"/>
  <c r="C56" i="4"/>
  <c r="F56" i="4"/>
  <c r="AK56" i="4"/>
  <c r="U56" i="4"/>
  <c r="E57" i="4"/>
  <c r="C57" i="4"/>
  <c r="F57" i="4"/>
  <c r="AK57" i="4"/>
  <c r="U57" i="4"/>
  <c r="E58" i="4"/>
  <c r="C58" i="4"/>
  <c r="F58" i="4"/>
  <c r="AK58" i="4"/>
  <c r="U58" i="4"/>
  <c r="E59" i="4"/>
  <c r="C59" i="4"/>
  <c r="F59" i="4"/>
  <c r="AK59" i="4"/>
  <c r="U59" i="4"/>
  <c r="E60" i="4"/>
  <c r="C60" i="4"/>
  <c r="F60" i="4"/>
  <c r="AK60" i="4"/>
  <c r="U60" i="4"/>
  <c r="E61" i="4"/>
  <c r="C61" i="4"/>
  <c r="F61" i="4"/>
  <c r="AK61" i="4"/>
  <c r="U61" i="4"/>
  <c r="E62" i="4"/>
  <c r="C62" i="4"/>
  <c r="F62" i="4"/>
  <c r="AK62" i="4"/>
  <c r="U62" i="4"/>
  <c r="E63" i="4"/>
  <c r="C63" i="4"/>
  <c r="F63" i="4"/>
  <c r="AK63" i="4"/>
  <c r="U63" i="4"/>
  <c r="E64" i="4"/>
  <c r="C64" i="4"/>
  <c r="F64" i="4"/>
  <c r="AK64" i="4"/>
  <c r="U64" i="4"/>
  <c r="E65" i="4"/>
  <c r="C65" i="4"/>
  <c r="F65" i="4"/>
  <c r="AK65" i="4"/>
  <c r="U65" i="4"/>
  <c r="E66" i="4"/>
  <c r="C66" i="4"/>
  <c r="F66" i="4"/>
  <c r="AK66" i="4"/>
  <c r="U66" i="4"/>
  <c r="E67" i="4"/>
  <c r="C67" i="4"/>
  <c r="F67" i="4"/>
  <c r="AK67" i="4"/>
  <c r="U67" i="4"/>
  <c r="E68" i="4"/>
  <c r="C68" i="4"/>
  <c r="F68" i="4"/>
  <c r="AK68" i="4"/>
  <c r="U68" i="4"/>
  <c r="E69" i="4"/>
  <c r="C69" i="4"/>
  <c r="F69" i="4"/>
  <c r="AK69" i="4"/>
  <c r="U69" i="4"/>
  <c r="E70" i="4"/>
  <c r="C70" i="4"/>
  <c r="F70" i="4"/>
  <c r="AK70" i="4"/>
  <c r="U70" i="4"/>
  <c r="E71" i="4"/>
  <c r="C71" i="4"/>
  <c r="F71" i="4"/>
  <c r="AK71" i="4"/>
  <c r="U71" i="4"/>
  <c r="E72" i="4"/>
  <c r="C72" i="4"/>
  <c r="F72" i="4"/>
  <c r="AK72" i="4"/>
  <c r="U72" i="4"/>
  <c r="U73" i="4"/>
  <c r="V14" i="4"/>
  <c r="V15" i="4"/>
  <c r="V16" i="4"/>
  <c r="V17" i="4"/>
  <c r="V18" i="4"/>
  <c r="V19" i="4"/>
  <c r="V20" i="4"/>
  <c r="K21" i="4"/>
  <c r="V13" i="4"/>
  <c r="V21" i="4"/>
  <c r="K22" i="4"/>
  <c r="V22" i="4"/>
  <c r="K23" i="4"/>
  <c r="V23" i="4"/>
  <c r="K24" i="4"/>
  <c r="V24" i="4"/>
  <c r="K25" i="4"/>
  <c r="V25" i="4"/>
  <c r="K26" i="4"/>
  <c r="V26" i="4"/>
  <c r="K27" i="4"/>
  <c r="V27" i="4"/>
  <c r="K28" i="4"/>
  <c r="V28" i="4"/>
  <c r="K29" i="4"/>
  <c r="V29" i="4"/>
  <c r="K30" i="4"/>
  <c r="V30" i="4"/>
  <c r="K31" i="4"/>
  <c r="V31" i="4"/>
  <c r="K32" i="4"/>
  <c r="V32" i="4"/>
  <c r="K33" i="4"/>
  <c r="V33" i="4"/>
  <c r="K34" i="4"/>
  <c r="V34" i="4"/>
  <c r="K35" i="4"/>
  <c r="V35" i="4"/>
  <c r="K36" i="4"/>
  <c r="V36" i="4"/>
  <c r="K37" i="4"/>
  <c r="V37" i="4"/>
  <c r="K38" i="4"/>
  <c r="V38" i="4"/>
  <c r="K39" i="4"/>
  <c r="V39" i="4"/>
  <c r="K40" i="4"/>
  <c r="V40" i="4"/>
  <c r="K41" i="4"/>
  <c r="V41" i="4"/>
  <c r="K42" i="4"/>
  <c r="V42" i="4"/>
  <c r="K43" i="4"/>
  <c r="V43" i="4"/>
  <c r="K44" i="4"/>
  <c r="V44" i="4"/>
  <c r="K45" i="4"/>
  <c r="V45" i="4"/>
  <c r="K46" i="4"/>
  <c r="V46" i="4"/>
  <c r="K47" i="4"/>
  <c r="V47" i="4"/>
  <c r="K48" i="4"/>
  <c r="V48" i="4"/>
  <c r="K49" i="4"/>
  <c r="V49" i="4"/>
  <c r="K50" i="4"/>
  <c r="V50" i="4"/>
  <c r="K51" i="4"/>
  <c r="V51" i="4"/>
  <c r="K52" i="4"/>
  <c r="V52" i="4"/>
  <c r="K53" i="4"/>
  <c r="V53" i="4"/>
  <c r="K54" i="4"/>
  <c r="V54" i="4"/>
  <c r="K55" i="4"/>
  <c r="V55" i="4"/>
  <c r="K56" i="4"/>
  <c r="V56" i="4"/>
  <c r="K57" i="4"/>
  <c r="V57" i="4"/>
  <c r="K58" i="4"/>
  <c r="V58" i="4"/>
  <c r="K59" i="4"/>
  <c r="V59" i="4"/>
  <c r="K60" i="4"/>
  <c r="V60" i="4"/>
  <c r="K61" i="4"/>
  <c r="V61" i="4"/>
  <c r="K62" i="4"/>
  <c r="V62" i="4"/>
  <c r="K63" i="4"/>
  <c r="V63" i="4"/>
  <c r="K64" i="4"/>
  <c r="V64" i="4"/>
  <c r="K65" i="4"/>
  <c r="V65" i="4"/>
  <c r="K66" i="4"/>
  <c r="V66" i="4"/>
  <c r="K67" i="4"/>
  <c r="V67" i="4"/>
  <c r="K68" i="4"/>
  <c r="V68" i="4"/>
  <c r="K69" i="4"/>
  <c r="V69" i="4"/>
  <c r="K70" i="4"/>
  <c r="V70" i="4"/>
  <c r="K71" i="4"/>
  <c r="V71" i="4"/>
  <c r="K72" i="4"/>
  <c r="V72" i="4"/>
  <c r="V73" i="4"/>
  <c r="W73" i="4"/>
  <c r="X14" i="4"/>
  <c r="Y14" i="4"/>
  <c r="Z14" i="4"/>
  <c r="X15" i="4"/>
  <c r="Y15" i="4"/>
  <c r="Z15" i="4"/>
  <c r="X16" i="4"/>
  <c r="Y16" i="4"/>
  <c r="Z16" i="4"/>
  <c r="X17" i="4"/>
  <c r="Y17" i="4"/>
  <c r="Z17" i="4"/>
  <c r="X18" i="4"/>
  <c r="Y18" i="4"/>
  <c r="Z18" i="4"/>
  <c r="X19" i="4"/>
  <c r="Y19" i="4"/>
  <c r="Z13" i="4"/>
  <c r="Z19" i="4"/>
  <c r="X20" i="4"/>
  <c r="Y20" i="4"/>
  <c r="Z20" i="4"/>
  <c r="X21" i="4"/>
  <c r="Y21" i="4"/>
  <c r="Z21" i="4"/>
  <c r="X22" i="4"/>
  <c r="Y22" i="4"/>
  <c r="Z22" i="4"/>
  <c r="X23" i="4"/>
  <c r="Y23" i="4"/>
  <c r="Z23" i="4"/>
  <c r="X24" i="4"/>
  <c r="Y24" i="4"/>
  <c r="Z24" i="4"/>
  <c r="X13" i="4"/>
  <c r="X25" i="4"/>
  <c r="Y25" i="4"/>
  <c r="Z25" i="4"/>
  <c r="X26" i="4"/>
  <c r="Y26" i="4"/>
  <c r="Z26" i="4"/>
  <c r="X27" i="4"/>
  <c r="Y27" i="4"/>
  <c r="Z27" i="4"/>
  <c r="X28" i="4"/>
  <c r="Y28" i="4"/>
  <c r="Z28" i="4"/>
  <c r="X29" i="4"/>
  <c r="Y29" i="4"/>
  <c r="Z29" i="4"/>
  <c r="X30" i="4"/>
  <c r="Y30" i="4"/>
  <c r="Z30" i="4"/>
  <c r="X31" i="4"/>
  <c r="Y31" i="4"/>
  <c r="Z31" i="4"/>
  <c r="X32" i="4"/>
  <c r="Y32" i="4"/>
  <c r="Z32" i="4"/>
  <c r="X33" i="4"/>
  <c r="Y33" i="4"/>
  <c r="Z33" i="4"/>
  <c r="X34" i="4"/>
  <c r="Y34" i="4"/>
  <c r="Z34" i="4"/>
  <c r="X35" i="4"/>
  <c r="Y35" i="4"/>
  <c r="Z35" i="4"/>
  <c r="X36" i="4"/>
  <c r="Y36" i="4"/>
  <c r="Z36" i="4"/>
  <c r="X37" i="4"/>
  <c r="Y37" i="4"/>
  <c r="Z37" i="4"/>
  <c r="X38" i="4"/>
  <c r="Y38" i="4"/>
  <c r="Z38" i="4"/>
  <c r="X39" i="4"/>
  <c r="Y39" i="4"/>
  <c r="Z39" i="4"/>
  <c r="X40" i="4"/>
  <c r="Y40" i="4"/>
  <c r="Z40" i="4"/>
  <c r="X41" i="4"/>
  <c r="Y41" i="4"/>
  <c r="Z41" i="4"/>
  <c r="X42" i="4"/>
  <c r="Y42" i="4"/>
  <c r="Z42" i="4"/>
  <c r="X43" i="4"/>
  <c r="Y43" i="4"/>
  <c r="Z43" i="4"/>
  <c r="X44" i="4"/>
  <c r="Y44" i="4"/>
  <c r="Z44" i="4"/>
  <c r="X45" i="4"/>
  <c r="Y45" i="4"/>
  <c r="Z45" i="4"/>
  <c r="X46" i="4"/>
  <c r="Y46" i="4"/>
  <c r="Z46" i="4"/>
  <c r="X47" i="4"/>
  <c r="Y47" i="4"/>
  <c r="Z47" i="4"/>
  <c r="X48" i="4"/>
  <c r="Y48" i="4"/>
  <c r="Z48" i="4"/>
  <c r="X49" i="4"/>
  <c r="Y49" i="4"/>
  <c r="Z49" i="4"/>
  <c r="X50" i="4"/>
  <c r="Y50" i="4"/>
  <c r="Z50" i="4"/>
  <c r="X51" i="4"/>
  <c r="Y51" i="4"/>
  <c r="Z51" i="4"/>
  <c r="X52" i="4"/>
  <c r="Y52" i="4"/>
  <c r="Z52" i="4"/>
  <c r="X53" i="4"/>
  <c r="Y53" i="4"/>
  <c r="Z53" i="4"/>
  <c r="X54" i="4"/>
  <c r="Y54" i="4"/>
  <c r="Z54" i="4"/>
  <c r="X55" i="4"/>
  <c r="Y55" i="4"/>
  <c r="Z55" i="4"/>
  <c r="X56" i="4"/>
  <c r="Y56" i="4"/>
  <c r="Z56" i="4"/>
  <c r="X57" i="4"/>
  <c r="Y57" i="4"/>
  <c r="Z57" i="4"/>
  <c r="X58" i="4"/>
  <c r="Y58" i="4"/>
  <c r="Z58" i="4"/>
  <c r="X59" i="4"/>
  <c r="Y59" i="4"/>
  <c r="Z59" i="4"/>
  <c r="X60" i="4"/>
  <c r="Y60" i="4"/>
  <c r="Z60" i="4"/>
  <c r="X61" i="4"/>
  <c r="Y61" i="4"/>
  <c r="Z61" i="4"/>
  <c r="X62" i="4"/>
  <c r="Y62" i="4"/>
  <c r="Z62" i="4"/>
  <c r="X63" i="4"/>
  <c r="Y63" i="4"/>
  <c r="Z63" i="4"/>
  <c r="X64" i="4"/>
  <c r="Y64" i="4"/>
  <c r="Z64" i="4"/>
  <c r="X65" i="4"/>
  <c r="Y65" i="4"/>
  <c r="Z65" i="4"/>
  <c r="X66" i="4"/>
  <c r="Y66" i="4"/>
  <c r="Z66" i="4"/>
  <c r="X67" i="4"/>
  <c r="Y67" i="4"/>
  <c r="Z67" i="4"/>
  <c r="X68" i="4"/>
  <c r="Y68" i="4"/>
  <c r="Z68" i="4"/>
  <c r="X69" i="4"/>
  <c r="Y69" i="4"/>
  <c r="Z69" i="4"/>
  <c r="X70" i="4"/>
  <c r="Y70" i="4"/>
  <c r="Z70" i="4"/>
  <c r="X71" i="4"/>
  <c r="Y71" i="4"/>
  <c r="Z71" i="4"/>
  <c r="X72" i="4"/>
  <c r="Y72" i="4"/>
  <c r="Z72" i="4"/>
  <c r="Z73" i="4"/>
  <c r="AA14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P14" i="4"/>
  <c r="G14" i="4"/>
  <c r="Q14" i="4"/>
  <c r="H14" i="4"/>
  <c r="R14" i="4"/>
  <c r="I14" i="4"/>
  <c r="N14" i="4"/>
  <c r="S14" i="4"/>
  <c r="T14" i="4"/>
  <c r="AB14" i="4"/>
  <c r="P15" i="4"/>
  <c r="G15" i="4"/>
  <c r="Q15" i="4"/>
  <c r="H15" i="4"/>
  <c r="R15" i="4"/>
  <c r="I15" i="4"/>
  <c r="N15" i="4"/>
  <c r="S15" i="4"/>
  <c r="T15" i="4"/>
  <c r="AB15" i="4"/>
  <c r="P16" i="4"/>
  <c r="G16" i="4"/>
  <c r="Q16" i="4"/>
  <c r="H16" i="4"/>
  <c r="R16" i="4"/>
  <c r="I16" i="4"/>
  <c r="N16" i="4"/>
  <c r="S16" i="4"/>
  <c r="T16" i="4"/>
  <c r="AB16" i="4"/>
  <c r="P17" i="4"/>
  <c r="G17" i="4"/>
  <c r="Q17" i="4"/>
  <c r="H17" i="4"/>
  <c r="R17" i="4"/>
  <c r="I17" i="4"/>
  <c r="N17" i="4"/>
  <c r="S17" i="4"/>
  <c r="T17" i="4"/>
  <c r="AB17" i="4"/>
  <c r="P18" i="4"/>
  <c r="G18" i="4"/>
  <c r="Q18" i="4"/>
  <c r="H18" i="4"/>
  <c r="R18" i="4"/>
  <c r="I18" i="4"/>
  <c r="N18" i="4"/>
  <c r="S18" i="4"/>
  <c r="T18" i="4"/>
  <c r="AB18" i="4"/>
  <c r="P19" i="4"/>
  <c r="G19" i="4"/>
  <c r="Q19" i="4"/>
  <c r="H19" i="4"/>
  <c r="R19" i="4"/>
  <c r="I19" i="4"/>
  <c r="N19" i="4"/>
  <c r="S19" i="4"/>
  <c r="T19" i="4"/>
  <c r="AB19" i="4"/>
  <c r="P20" i="4"/>
  <c r="G20" i="4"/>
  <c r="Q20" i="4"/>
  <c r="H20" i="4"/>
  <c r="R20" i="4"/>
  <c r="I20" i="4"/>
  <c r="N20" i="4"/>
  <c r="S20" i="4"/>
  <c r="T20" i="4"/>
  <c r="AB20" i="4"/>
  <c r="P21" i="4"/>
  <c r="AI21" i="4"/>
  <c r="G13" i="4"/>
  <c r="G21" i="4"/>
  <c r="L21" i="4"/>
  <c r="Q21" i="4"/>
  <c r="AJ21" i="4"/>
  <c r="H13" i="4"/>
  <c r="H21" i="4"/>
  <c r="M21" i="4"/>
  <c r="R21" i="4"/>
  <c r="I21" i="4"/>
  <c r="N21" i="4"/>
  <c r="S21" i="4"/>
  <c r="T21" i="4"/>
  <c r="Q13" i="4"/>
  <c r="R13" i="4"/>
  <c r="P13" i="4"/>
  <c r="S13" i="4"/>
  <c r="T13" i="4"/>
  <c r="AB13" i="4"/>
  <c r="AB21" i="4"/>
  <c r="P22" i="4"/>
  <c r="AI22" i="4"/>
  <c r="G22" i="4"/>
  <c r="L22" i="4"/>
  <c r="Q22" i="4"/>
  <c r="AJ22" i="4"/>
  <c r="H22" i="4"/>
  <c r="M22" i="4"/>
  <c r="R22" i="4"/>
  <c r="I22" i="4"/>
  <c r="N22" i="4"/>
  <c r="S22" i="4"/>
  <c r="T22" i="4"/>
  <c r="AB22" i="4"/>
  <c r="P23" i="4"/>
  <c r="AI23" i="4"/>
  <c r="G23" i="4"/>
  <c r="L23" i="4"/>
  <c r="Q23" i="4"/>
  <c r="AJ23" i="4"/>
  <c r="H23" i="4"/>
  <c r="M23" i="4"/>
  <c r="R23" i="4"/>
  <c r="I23" i="4"/>
  <c r="N23" i="4"/>
  <c r="S23" i="4"/>
  <c r="T23" i="4"/>
  <c r="AB23" i="4"/>
  <c r="P24" i="4"/>
  <c r="AI24" i="4"/>
  <c r="G24" i="4"/>
  <c r="L24" i="4"/>
  <c r="Q24" i="4"/>
  <c r="AJ24" i="4"/>
  <c r="H24" i="4"/>
  <c r="M24" i="4"/>
  <c r="R24" i="4"/>
  <c r="I24" i="4"/>
  <c r="N24" i="4"/>
  <c r="S24" i="4"/>
  <c r="T24" i="4"/>
  <c r="AB24" i="4"/>
  <c r="P25" i="4"/>
  <c r="AI25" i="4"/>
  <c r="G25" i="4"/>
  <c r="L25" i="4"/>
  <c r="Q25" i="4"/>
  <c r="AJ25" i="4"/>
  <c r="H25" i="4"/>
  <c r="M25" i="4"/>
  <c r="R25" i="4"/>
  <c r="I25" i="4"/>
  <c r="N25" i="4"/>
  <c r="S25" i="4"/>
  <c r="T25" i="4"/>
  <c r="AB25" i="4"/>
  <c r="P26" i="4"/>
  <c r="AI26" i="4"/>
  <c r="G26" i="4"/>
  <c r="L26" i="4"/>
  <c r="Q26" i="4"/>
  <c r="AJ26" i="4"/>
  <c r="H26" i="4"/>
  <c r="M26" i="4"/>
  <c r="R26" i="4"/>
  <c r="I26" i="4"/>
  <c r="N26" i="4"/>
  <c r="S26" i="4"/>
  <c r="T26" i="4"/>
  <c r="AB26" i="4"/>
  <c r="P27" i="4"/>
  <c r="AI27" i="4"/>
  <c r="G27" i="4"/>
  <c r="L27" i="4"/>
  <c r="Q27" i="4"/>
  <c r="AJ27" i="4"/>
  <c r="H27" i="4"/>
  <c r="M27" i="4"/>
  <c r="R27" i="4"/>
  <c r="I27" i="4"/>
  <c r="N27" i="4"/>
  <c r="S27" i="4"/>
  <c r="T27" i="4"/>
  <c r="AB27" i="4"/>
  <c r="P28" i="4"/>
  <c r="AI28" i="4"/>
  <c r="G28" i="4"/>
  <c r="L28" i="4"/>
  <c r="Q28" i="4"/>
  <c r="AJ28" i="4"/>
  <c r="H28" i="4"/>
  <c r="M28" i="4"/>
  <c r="R28" i="4"/>
  <c r="I28" i="4"/>
  <c r="N28" i="4"/>
  <c r="S28" i="4"/>
  <c r="T28" i="4"/>
  <c r="AB28" i="4"/>
  <c r="P29" i="4"/>
  <c r="AI29" i="4"/>
  <c r="G29" i="4"/>
  <c r="L29" i="4"/>
  <c r="Q29" i="4"/>
  <c r="AJ29" i="4"/>
  <c r="H29" i="4"/>
  <c r="M29" i="4"/>
  <c r="R29" i="4"/>
  <c r="I29" i="4"/>
  <c r="N29" i="4"/>
  <c r="S29" i="4"/>
  <c r="T29" i="4"/>
  <c r="AB29" i="4"/>
  <c r="P30" i="4"/>
  <c r="AI30" i="4"/>
  <c r="G30" i="4"/>
  <c r="L30" i="4"/>
  <c r="Q30" i="4"/>
  <c r="AJ30" i="4"/>
  <c r="H30" i="4"/>
  <c r="M30" i="4"/>
  <c r="R30" i="4"/>
  <c r="I30" i="4"/>
  <c r="N30" i="4"/>
  <c r="S30" i="4"/>
  <c r="T30" i="4"/>
  <c r="AB30" i="4"/>
  <c r="P31" i="4"/>
  <c r="AI31" i="4"/>
  <c r="G31" i="4"/>
  <c r="L31" i="4"/>
  <c r="Q31" i="4"/>
  <c r="AJ31" i="4"/>
  <c r="H31" i="4"/>
  <c r="M31" i="4"/>
  <c r="R31" i="4"/>
  <c r="I31" i="4"/>
  <c r="N31" i="4"/>
  <c r="S31" i="4"/>
  <c r="T31" i="4"/>
  <c r="AB31" i="4"/>
  <c r="P32" i="4"/>
  <c r="AI32" i="4"/>
  <c r="G32" i="4"/>
  <c r="L32" i="4"/>
  <c r="Q32" i="4"/>
  <c r="AJ32" i="4"/>
  <c r="H32" i="4"/>
  <c r="M32" i="4"/>
  <c r="R32" i="4"/>
  <c r="I32" i="4"/>
  <c r="N32" i="4"/>
  <c r="S32" i="4"/>
  <c r="T32" i="4"/>
  <c r="AB32" i="4"/>
  <c r="P33" i="4"/>
  <c r="AI33" i="4"/>
  <c r="G33" i="4"/>
  <c r="L33" i="4"/>
  <c r="Q33" i="4"/>
  <c r="AJ33" i="4"/>
  <c r="H33" i="4"/>
  <c r="M33" i="4"/>
  <c r="R33" i="4"/>
  <c r="I33" i="4"/>
  <c r="N33" i="4"/>
  <c r="S33" i="4"/>
  <c r="T33" i="4"/>
  <c r="AB33" i="4"/>
  <c r="P34" i="4"/>
  <c r="AI34" i="4"/>
  <c r="G34" i="4"/>
  <c r="L34" i="4"/>
  <c r="Q34" i="4"/>
  <c r="AJ34" i="4"/>
  <c r="H34" i="4"/>
  <c r="M34" i="4"/>
  <c r="R34" i="4"/>
  <c r="I34" i="4"/>
  <c r="N34" i="4"/>
  <c r="S34" i="4"/>
  <c r="T34" i="4"/>
  <c r="AB34" i="4"/>
  <c r="P35" i="4"/>
  <c r="AI35" i="4"/>
  <c r="G35" i="4"/>
  <c r="L35" i="4"/>
  <c r="Q35" i="4"/>
  <c r="AJ35" i="4"/>
  <c r="H35" i="4"/>
  <c r="M35" i="4"/>
  <c r="R35" i="4"/>
  <c r="I35" i="4"/>
  <c r="N35" i="4"/>
  <c r="S35" i="4"/>
  <c r="T35" i="4"/>
  <c r="AB35" i="4"/>
  <c r="P36" i="4"/>
  <c r="AI36" i="4"/>
  <c r="G36" i="4"/>
  <c r="L36" i="4"/>
  <c r="Q36" i="4"/>
  <c r="AJ36" i="4"/>
  <c r="H36" i="4"/>
  <c r="M36" i="4"/>
  <c r="R36" i="4"/>
  <c r="I36" i="4"/>
  <c r="N36" i="4"/>
  <c r="S36" i="4"/>
  <c r="T36" i="4"/>
  <c r="AB36" i="4"/>
  <c r="P37" i="4"/>
  <c r="AI37" i="4"/>
  <c r="G37" i="4"/>
  <c r="L37" i="4"/>
  <c r="Q37" i="4"/>
  <c r="AJ37" i="4"/>
  <c r="H37" i="4"/>
  <c r="M37" i="4"/>
  <c r="R37" i="4"/>
  <c r="I37" i="4"/>
  <c r="N37" i="4"/>
  <c r="S37" i="4"/>
  <c r="T37" i="4"/>
  <c r="AB37" i="4"/>
  <c r="P38" i="4"/>
  <c r="AI38" i="4"/>
  <c r="G38" i="4"/>
  <c r="L38" i="4"/>
  <c r="Q38" i="4"/>
  <c r="AJ38" i="4"/>
  <c r="H38" i="4"/>
  <c r="M38" i="4"/>
  <c r="R38" i="4"/>
  <c r="I38" i="4"/>
  <c r="N38" i="4"/>
  <c r="S38" i="4"/>
  <c r="T38" i="4"/>
  <c r="AB38" i="4"/>
  <c r="P39" i="4"/>
  <c r="AI39" i="4"/>
  <c r="G39" i="4"/>
  <c r="L39" i="4"/>
  <c r="Q39" i="4"/>
  <c r="AJ39" i="4"/>
  <c r="H39" i="4"/>
  <c r="M39" i="4"/>
  <c r="R39" i="4"/>
  <c r="I39" i="4"/>
  <c r="N39" i="4"/>
  <c r="S39" i="4"/>
  <c r="T39" i="4"/>
  <c r="AB39" i="4"/>
  <c r="P40" i="4"/>
  <c r="AI40" i="4"/>
  <c r="G40" i="4"/>
  <c r="L40" i="4"/>
  <c r="Q40" i="4"/>
  <c r="AJ40" i="4"/>
  <c r="H40" i="4"/>
  <c r="M40" i="4"/>
  <c r="R40" i="4"/>
  <c r="I40" i="4"/>
  <c r="N40" i="4"/>
  <c r="S40" i="4"/>
  <c r="T40" i="4"/>
  <c r="AB40" i="4"/>
  <c r="P41" i="4"/>
  <c r="AI41" i="4"/>
  <c r="G41" i="4"/>
  <c r="L41" i="4"/>
  <c r="Q41" i="4"/>
  <c r="AJ41" i="4"/>
  <c r="H41" i="4"/>
  <c r="M41" i="4"/>
  <c r="R41" i="4"/>
  <c r="I41" i="4"/>
  <c r="N41" i="4"/>
  <c r="S41" i="4"/>
  <c r="T41" i="4"/>
  <c r="AB41" i="4"/>
  <c r="P42" i="4"/>
  <c r="AI42" i="4"/>
  <c r="G42" i="4"/>
  <c r="L42" i="4"/>
  <c r="Q42" i="4"/>
  <c r="AJ42" i="4"/>
  <c r="H42" i="4"/>
  <c r="M42" i="4"/>
  <c r="R42" i="4"/>
  <c r="I42" i="4"/>
  <c r="N42" i="4"/>
  <c r="S42" i="4"/>
  <c r="T42" i="4"/>
  <c r="AB42" i="4"/>
  <c r="P43" i="4"/>
  <c r="AI43" i="4"/>
  <c r="G43" i="4"/>
  <c r="L43" i="4"/>
  <c r="Q43" i="4"/>
  <c r="AJ43" i="4"/>
  <c r="H43" i="4"/>
  <c r="M43" i="4"/>
  <c r="R43" i="4"/>
  <c r="I43" i="4"/>
  <c r="N43" i="4"/>
  <c r="S43" i="4"/>
  <c r="T43" i="4"/>
  <c r="AB43" i="4"/>
  <c r="P44" i="4"/>
  <c r="AI44" i="4"/>
  <c r="G44" i="4"/>
  <c r="L44" i="4"/>
  <c r="Q44" i="4"/>
  <c r="AJ44" i="4"/>
  <c r="H44" i="4"/>
  <c r="M44" i="4"/>
  <c r="R44" i="4"/>
  <c r="I44" i="4"/>
  <c r="N44" i="4"/>
  <c r="S44" i="4"/>
  <c r="T44" i="4"/>
  <c r="AB44" i="4"/>
  <c r="P45" i="4"/>
  <c r="AI45" i="4"/>
  <c r="G45" i="4"/>
  <c r="L45" i="4"/>
  <c r="Q45" i="4"/>
  <c r="AJ45" i="4"/>
  <c r="H45" i="4"/>
  <c r="M45" i="4"/>
  <c r="R45" i="4"/>
  <c r="I45" i="4"/>
  <c r="N45" i="4"/>
  <c r="S45" i="4"/>
  <c r="T45" i="4"/>
  <c r="AB45" i="4"/>
  <c r="P46" i="4"/>
  <c r="AI46" i="4"/>
  <c r="G46" i="4"/>
  <c r="L46" i="4"/>
  <c r="Q46" i="4"/>
  <c r="AJ46" i="4"/>
  <c r="H46" i="4"/>
  <c r="M46" i="4"/>
  <c r="R46" i="4"/>
  <c r="I46" i="4"/>
  <c r="N46" i="4"/>
  <c r="S46" i="4"/>
  <c r="T46" i="4"/>
  <c r="AB46" i="4"/>
  <c r="P47" i="4"/>
  <c r="AI47" i="4"/>
  <c r="G47" i="4"/>
  <c r="L47" i="4"/>
  <c r="Q47" i="4"/>
  <c r="AJ47" i="4"/>
  <c r="H47" i="4"/>
  <c r="M47" i="4"/>
  <c r="R47" i="4"/>
  <c r="I47" i="4"/>
  <c r="N47" i="4"/>
  <c r="S47" i="4"/>
  <c r="T47" i="4"/>
  <c r="AB47" i="4"/>
  <c r="P48" i="4"/>
  <c r="AI48" i="4"/>
  <c r="G48" i="4"/>
  <c r="L48" i="4"/>
  <c r="Q48" i="4"/>
  <c r="AJ48" i="4"/>
  <c r="H48" i="4"/>
  <c r="M48" i="4"/>
  <c r="R48" i="4"/>
  <c r="I48" i="4"/>
  <c r="N48" i="4"/>
  <c r="S48" i="4"/>
  <c r="T48" i="4"/>
  <c r="AB48" i="4"/>
  <c r="P49" i="4"/>
  <c r="AI49" i="4"/>
  <c r="G49" i="4"/>
  <c r="L49" i="4"/>
  <c r="Q49" i="4"/>
  <c r="AJ49" i="4"/>
  <c r="H49" i="4"/>
  <c r="M49" i="4"/>
  <c r="R49" i="4"/>
  <c r="I49" i="4"/>
  <c r="N49" i="4"/>
  <c r="S49" i="4"/>
  <c r="T49" i="4"/>
  <c r="AB49" i="4"/>
  <c r="P50" i="4"/>
  <c r="AI50" i="4"/>
  <c r="G50" i="4"/>
  <c r="L50" i="4"/>
  <c r="Q50" i="4"/>
  <c r="AJ50" i="4"/>
  <c r="H50" i="4"/>
  <c r="M50" i="4"/>
  <c r="R50" i="4"/>
  <c r="I50" i="4"/>
  <c r="N50" i="4"/>
  <c r="S50" i="4"/>
  <c r="T50" i="4"/>
  <c r="AB50" i="4"/>
  <c r="P51" i="4"/>
  <c r="AI51" i="4"/>
  <c r="G51" i="4"/>
  <c r="L51" i="4"/>
  <c r="Q51" i="4"/>
  <c r="AJ51" i="4"/>
  <c r="H51" i="4"/>
  <c r="M51" i="4"/>
  <c r="R51" i="4"/>
  <c r="I51" i="4"/>
  <c r="N51" i="4"/>
  <c r="S51" i="4"/>
  <c r="T51" i="4"/>
  <c r="AB51" i="4"/>
  <c r="P52" i="4"/>
  <c r="AI52" i="4"/>
  <c r="G52" i="4"/>
  <c r="L52" i="4"/>
  <c r="Q52" i="4"/>
  <c r="AJ52" i="4"/>
  <c r="H52" i="4"/>
  <c r="M52" i="4"/>
  <c r="R52" i="4"/>
  <c r="I52" i="4"/>
  <c r="N52" i="4"/>
  <c r="S52" i="4"/>
  <c r="T52" i="4"/>
  <c r="AB52" i="4"/>
  <c r="P53" i="4"/>
  <c r="AI53" i="4"/>
  <c r="G53" i="4"/>
  <c r="L53" i="4"/>
  <c r="Q53" i="4"/>
  <c r="AJ53" i="4"/>
  <c r="H53" i="4"/>
  <c r="M53" i="4"/>
  <c r="R53" i="4"/>
  <c r="I53" i="4"/>
  <c r="N53" i="4"/>
  <c r="S53" i="4"/>
  <c r="T53" i="4"/>
  <c r="AB53" i="4"/>
  <c r="P54" i="4"/>
  <c r="AI54" i="4"/>
  <c r="G54" i="4"/>
  <c r="L54" i="4"/>
  <c r="Q54" i="4"/>
  <c r="AJ54" i="4"/>
  <c r="H54" i="4"/>
  <c r="M54" i="4"/>
  <c r="R54" i="4"/>
  <c r="I54" i="4"/>
  <c r="N54" i="4"/>
  <c r="S54" i="4"/>
  <c r="T54" i="4"/>
  <c r="AB54" i="4"/>
  <c r="P55" i="4"/>
  <c r="AI55" i="4"/>
  <c r="G55" i="4"/>
  <c r="L55" i="4"/>
  <c r="Q55" i="4"/>
  <c r="AJ55" i="4"/>
  <c r="H55" i="4"/>
  <c r="M55" i="4"/>
  <c r="R55" i="4"/>
  <c r="I55" i="4"/>
  <c r="N55" i="4"/>
  <c r="S55" i="4"/>
  <c r="T55" i="4"/>
  <c r="AB55" i="4"/>
  <c r="P56" i="4"/>
  <c r="AI56" i="4"/>
  <c r="G56" i="4"/>
  <c r="L56" i="4"/>
  <c r="Q56" i="4"/>
  <c r="AJ56" i="4"/>
  <c r="H56" i="4"/>
  <c r="M56" i="4"/>
  <c r="R56" i="4"/>
  <c r="I56" i="4"/>
  <c r="N56" i="4"/>
  <c r="S56" i="4"/>
  <c r="T56" i="4"/>
  <c r="AB56" i="4"/>
  <c r="P57" i="4"/>
  <c r="AI57" i="4"/>
  <c r="G57" i="4"/>
  <c r="L57" i="4"/>
  <c r="Q57" i="4"/>
  <c r="AJ57" i="4"/>
  <c r="H57" i="4"/>
  <c r="M57" i="4"/>
  <c r="R57" i="4"/>
  <c r="I57" i="4"/>
  <c r="N57" i="4"/>
  <c r="S57" i="4"/>
  <c r="T57" i="4"/>
  <c r="AB57" i="4"/>
  <c r="P58" i="4"/>
  <c r="AI58" i="4"/>
  <c r="G58" i="4"/>
  <c r="L58" i="4"/>
  <c r="Q58" i="4"/>
  <c r="AJ58" i="4"/>
  <c r="H58" i="4"/>
  <c r="M58" i="4"/>
  <c r="R58" i="4"/>
  <c r="I58" i="4"/>
  <c r="N58" i="4"/>
  <c r="S58" i="4"/>
  <c r="T58" i="4"/>
  <c r="AB58" i="4"/>
  <c r="P59" i="4"/>
  <c r="AI59" i="4"/>
  <c r="G59" i="4"/>
  <c r="L59" i="4"/>
  <c r="Q59" i="4"/>
  <c r="AJ59" i="4"/>
  <c r="H59" i="4"/>
  <c r="M59" i="4"/>
  <c r="R59" i="4"/>
  <c r="I59" i="4"/>
  <c r="N59" i="4"/>
  <c r="S59" i="4"/>
  <c r="T59" i="4"/>
  <c r="AB59" i="4"/>
  <c r="P60" i="4"/>
  <c r="AI60" i="4"/>
  <c r="G60" i="4"/>
  <c r="L60" i="4"/>
  <c r="Q60" i="4"/>
  <c r="AJ60" i="4"/>
  <c r="H60" i="4"/>
  <c r="M60" i="4"/>
  <c r="R60" i="4"/>
  <c r="I60" i="4"/>
  <c r="N60" i="4"/>
  <c r="S60" i="4"/>
  <c r="T60" i="4"/>
  <c r="AB60" i="4"/>
  <c r="P61" i="4"/>
  <c r="AI61" i="4"/>
  <c r="G61" i="4"/>
  <c r="L61" i="4"/>
  <c r="Q61" i="4"/>
  <c r="AJ61" i="4"/>
  <c r="H61" i="4"/>
  <c r="M61" i="4"/>
  <c r="R61" i="4"/>
  <c r="I61" i="4"/>
  <c r="N61" i="4"/>
  <c r="S61" i="4"/>
  <c r="T61" i="4"/>
  <c r="AB61" i="4"/>
  <c r="P62" i="4"/>
  <c r="AI62" i="4"/>
  <c r="G62" i="4"/>
  <c r="L62" i="4"/>
  <c r="Q62" i="4"/>
  <c r="AJ62" i="4"/>
  <c r="H62" i="4"/>
  <c r="M62" i="4"/>
  <c r="R62" i="4"/>
  <c r="I62" i="4"/>
  <c r="N62" i="4"/>
  <c r="S62" i="4"/>
  <c r="T62" i="4"/>
  <c r="AB62" i="4"/>
  <c r="P63" i="4"/>
  <c r="AI63" i="4"/>
  <c r="G63" i="4"/>
  <c r="L63" i="4"/>
  <c r="Q63" i="4"/>
  <c r="AJ63" i="4"/>
  <c r="H63" i="4"/>
  <c r="M63" i="4"/>
  <c r="R63" i="4"/>
  <c r="I63" i="4"/>
  <c r="N63" i="4"/>
  <c r="S63" i="4"/>
  <c r="T63" i="4"/>
  <c r="AB63" i="4"/>
  <c r="P64" i="4"/>
  <c r="AI64" i="4"/>
  <c r="G64" i="4"/>
  <c r="L64" i="4"/>
  <c r="Q64" i="4"/>
  <c r="AJ64" i="4"/>
  <c r="H64" i="4"/>
  <c r="M64" i="4"/>
  <c r="R64" i="4"/>
  <c r="I64" i="4"/>
  <c r="N64" i="4"/>
  <c r="S64" i="4"/>
  <c r="T64" i="4"/>
  <c r="AB64" i="4"/>
  <c r="P65" i="4"/>
  <c r="AI65" i="4"/>
  <c r="G65" i="4"/>
  <c r="L65" i="4"/>
  <c r="Q65" i="4"/>
  <c r="AJ65" i="4"/>
  <c r="H65" i="4"/>
  <c r="M65" i="4"/>
  <c r="R65" i="4"/>
  <c r="I65" i="4"/>
  <c r="N65" i="4"/>
  <c r="S65" i="4"/>
  <c r="T65" i="4"/>
  <c r="AB65" i="4"/>
  <c r="P66" i="4"/>
  <c r="AI66" i="4"/>
  <c r="G66" i="4"/>
  <c r="L66" i="4"/>
  <c r="Q66" i="4"/>
  <c r="AJ66" i="4"/>
  <c r="H66" i="4"/>
  <c r="M66" i="4"/>
  <c r="R66" i="4"/>
  <c r="I66" i="4"/>
  <c r="N66" i="4"/>
  <c r="S66" i="4"/>
  <c r="T66" i="4"/>
  <c r="AB66" i="4"/>
  <c r="P67" i="4"/>
  <c r="AI67" i="4"/>
  <c r="G67" i="4"/>
  <c r="L67" i="4"/>
  <c r="Q67" i="4"/>
  <c r="AJ67" i="4"/>
  <c r="H67" i="4"/>
  <c r="M67" i="4"/>
  <c r="R67" i="4"/>
  <c r="I67" i="4"/>
  <c r="N67" i="4"/>
  <c r="S67" i="4"/>
  <c r="T67" i="4"/>
  <c r="AB67" i="4"/>
  <c r="P68" i="4"/>
  <c r="AI68" i="4"/>
  <c r="G68" i="4"/>
  <c r="L68" i="4"/>
  <c r="Q68" i="4"/>
  <c r="AJ68" i="4"/>
  <c r="H68" i="4"/>
  <c r="M68" i="4"/>
  <c r="R68" i="4"/>
  <c r="I68" i="4"/>
  <c r="N68" i="4"/>
  <c r="S68" i="4"/>
  <c r="T68" i="4"/>
  <c r="AB68" i="4"/>
  <c r="P69" i="4"/>
  <c r="AI69" i="4"/>
  <c r="G69" i="4"/>
  <c r="L69" i="4"/>
  <c r="Q69" i="4"/>
  <c r="AJ69" i="4"/>
  <c r="H69" i="4"/>
  <c r="M69" i="4"/>
  <c r="R69" i="4"/>
  <c r="I69" i="4"/>
  <c r="N69" i="4"/>
  <c r="S69" i="4"/>
  <c r="T69" i="4"/>
  <c r="AB69" i="4"/>
  <c r="P70" i="4"/>
  <c r="AI70" i="4"/>
  <c r="G70" i="4"/>
  <c r="L70" i="4"/>
  <c r="Q70" i="4"/>
  <c r="AJ70" i="4"/>
  <c r="H70" i="4"/>
  <c r="M70" i="4"/>
  <c r="R70" i="4"/>
  <c r="I70" i="4"/>
  <c r="N70" i="4"/>
  <c r="S70" i="4"/>
  <c r="T70" i="4"/>
  <c r="AB70" i="4"/>
  <c r="P71" i="4"/>
  <c r="AI71" i="4"/>
  <c r="G71" i="4"/>
  <c r="L71" i="4"/>
  <c r="Q71" i="4"/>
  <c r="AJ71" i="4"/>
  <c r="H71" i="4"/>
  <c r="M71" i="4"/>
  <c r="R71" i="4"/>
  <c r="I71" i="4"/>
  <c r="N71" i="4"/>
  <c r="S71" i="4"/>
  <c r="T71" i="4"/>
  <c r="AB71" i="4"/>
  <c r="P72" i="4"/>
  <c r="AI72" i="4"/>
  <c r="G72" i="4"/>
  <c r="L72" i="4"/>
  <c r="Q72" i="4"/>
  <c r="AJ72" i="4"/>
  <c r="H72" i="4"/>
  <c r="M72" i="4"/>
  <c r="R72" i="4"/>
  <c r="I72" i="4"/>
  <c r="N72" i="4"/>
  <c r="S72" i="4"/>
  <c r="T72" i="4"/>
  <c r="AB72" i="4"/>
  <c r="AB73" i="4"/>
  <c r="AC73" i="4"/>
  <c r="W72" i="4"/>
  <c r="AC72" i="4"/>
  <c r="W71" i="4"/>
  <c r="AC71" i="4"/>
  <c r="W70" i="4"/>
  <c r="AC70" i="4"/>
  <c r="W69" i="4"/>
  <c r="AC69" i="4"/>
  <c r="W68" i="4"/>
  <c r="AC68" i="4"/>
  <c r="W67" i="4"/>
  <c r="AC67" i="4"/>
  <c r="W66" i="4"/>
  <c r="AC66" i="4"/>
  <c r="W65" i="4"/>
  <c r="AC65" i="4"/>
  <c r="W64" i="4"/>
  <c r="AC64" i="4"/>
  <c r="W63" i="4"/>
  <c r="AC63" i="4"/>
  <c r="W62" i="4"/>
  <c r="AC62" i="4"/>
  <c r="W61" i="4"/>
  <c r="AC61" i="4"/>
  <c r="W60" i="4"/>
  <c r="AC60" i="4"/>
  <c r="W59" i="4"/>
  <c r="AC59" i="4"/>
  <c r="W58" i="4"/>
  <c r="AC58" i="4"/>
  <c r="W57" i="4"/>
  <c r="AC57" i="4"/>
  <c r="W56" i="4"/>
  <c r="AC56" i="4"/>
  <c r="W55" i="4"/>
  <c r="AC55" i="4"/>
  <c r="W54" i="4"/>
  <c r="AC54" i="4"/>
  <c r="W53" i="4"/>
  <c r="AC53" i="4"/>
  <c r="W52" i="4"/>
  <c r="AC52" i="4"/>
  <c r="W51" i="4"/>
  <c r="AC51" i="4"/>
  <c r="W50" i="4"/>
  <c r="AC50" i="4"/>
  <c r="W49" i="4"/>
  <c r="AC49" i="4"/>
  <c r="W48" i="4"/>
  <c r="AC48" i="4"/>
  <c r="W47" i="4"/>
  <c r="AC47" i="4"/>
  <c r="W46" i="4"/>
  <c r="AC46" i="4"/>
  <c r="W45" i="4"/>
  <c r="AC45" i="4"/>
  <c r="W44" i="4"/>
  <c r="AC44" i="4"/>
  <c r="W43" i="4"/>
  <c r="AC43" i="4"/>
  <c r="W42" i="4"/>
  <c r="AC42" i="4"/>
  <c r="W41" i="4"/>
  <c r="AC41" i="4"/>
  <c r="W40" i="4"/>
  <c r="AC40" i="4"/>
  <c r="W39" i="4"/>
  <c r="AC39" i="4"/>
  <c r="W38" i="4"/>
  <c r="AC38" i="4"/>
  <c r="W37" i="4"/>
  <c r="AC37" i="4"/>
  <c r="W36" i="4"/>
  <c r="AC36" i="4"/>
  <c r="W35" i="4"/>
  <c r="AC35" i="4"/>
  <c r="W34" i="4"/>
  <c r="AC34" i="4"/>
  <c r="W33" i="4"/>
  <c r="AC33" i="4"/>
  <c r="W32" i="4"/>
  <c r="AC32" i="4"/>
  <c r="W31" i="4"/>
  <c r="AC31" i="4"/>
  <c r="W30" i="4"/>
  <c r="AC30" i="4"/>
  <c r="W29" i="4"/>
  <c r="AC29" i="4"/>
  <c r="W28" i="4"/>
  <c r="AC28" i="4"/>
  <c r="W27" i="4"/>
  <c r="AC27" i="4"/>
  <c r="W26" i="4"/>
  <c r="AC26" i="4"/>
  <c r="W25" i="4"/>
  <c r="AC25" i="4"/>
  <c r="W24" i="4"/>
  <c r="AC24" i="4"/>
  <c r="W23" i="4"/>
  <c r="AC23" i="4"/>
  <c r="W22" i="4"/>
  <c r="AC22" i="4"/>
  <c r="W21" i="4"/>
  <c r="AC21" i="4"/>
  <c r="W20" i="4"/>
  <c r="AC20" i="4"/>
  <c r="W19" i="4"/>
  <c r="AC19" i="4"/>
  <c r="W18" i="4"/>
  <c r="AC18" i="4"/>
  <c r="W17" i="4"/>
  <c r="AC17" i="4"/>
  <c r="W16" i="4"/>
  <c r="AC16" i="4"/>
  <c r="W15" i="4"/>
  <c r="AC15" i="4"/>
  <c r="C73" i="4"/>
  <c r="K73" i="4"/>
  <c r="L73" i="4"/>
  <c r="M73" i="4"/>
  <c r="N73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W14" i="4"/>
  <c r="AC14" i="4"/>
  <c r="W13" i="4"/>
  <c r="AC13" i="4"/>
  <c r="AA75" i="4"/>
  <c r="AA74" i="4"/>
  <c r="F73" i="4"/>
  <c r="P73" i="4"/>
  <c r="G73" i="4"/>
  <c r="Q73" i="4"/>
  <c r="H73" i="4"/>
  <c r="R73" i="4"/>
  <c r="I73" i="4"/>
  <c r="S73" i="4"/>
  <c r="T73" i="4"/>
  <c r="N75" i="4"/>
  <c r="N74" i="4"/>
  <c r="I75" i="4"/>
  <c r="I74" i="4"/>
  <c r="S75" i="4"/>
  <c r="S74" i="4"/>
  <c r="O13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AI73" i="4"/>
  <c r="AJ73" i="4"/>
  <c r="AK73" i="4"/>
  <c r="AD68" i="4"/>
  <c r="AD69" i="4"/>
  <c r="AD70" i="4"/>
  <c r="AD71" i="4"/>
  <c r="AD72" i="4"/>
  <c r="X73" i="4"/>
  <c r="Y73" i="4"/>
  <c r="AD73" i="4"/>
  <c r="AK4" i="4"/>
  <c r="AK5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U11" i="4"/>
  <c r="AN5" i="4"/>
  <c r="B8" i="4"/>
  <c r="C13" i="4"/>
  <c r="AO4" i="4"/>
  <c r="AO5" i="4"/>
  <c r="B7" i="4"/>
</calcChain>
</file>

<file path=xl/sharedStrings.xml><?xml version="1.0" encoding="utf-8"?>
<sst xmlns="http://schemas.openxmlformats.org/spreadsheetml/2006/main" count="99" uniqueCount="76">
  <si>
    <t>DA</t>
  </si>
  <si>
    <t>TOTAL</t>
  </si>
  <si>
    <t>PAY DUE</t>
  </si>
  <si>
    <t>PAY DRAWN</t>
  </si>
  <si>
    <t>DIFFERENCE</t>
  </si>
  <si>
    <t>TOTAL DEDUCTION</t>
  </si>
  <si>
    <t>NET PAYABLE</t>
  </si>
  <si>
    <t>HRA</t>
  </si>
  <si>
    <t>GPF</t>
  </si>
  <si>
    <t>DUE</t>
  </si>
  <si>
    <t>DRAWN</t>
  </si>
  <si>
    <t>DIFF.</t>
  </si>
  <si>
    <t>RGHS</t>
  </si>
  <si>
    <t>MONTH</t>
  </si>
  <si>
    <t>BASIC</t>
  </si>
  <si>
    <t>L-14</t>
  </si>
  <si>
    <t>Pay Level :-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</si>
  <si>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</si>
  <si>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</si>
  <si>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</si>
  <si>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</si>
  <si>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</si>
  <si>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</si>
  <si>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</si>
  <si>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</si>
  <si>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</si>
  <si>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</si>
  <si>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</si>
  <si>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</si>
  <si>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</si>
  <si>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</si>
  <si>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</si>
  <si>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</si>
  <si>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</si>
  <si>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</si>
  <si>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</si>
  <si>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</si>
  <si>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</si>
  <si>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</si>
  <si>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</si>
  <si>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</si>
  <si>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</si>
  <si>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</si>
  <si>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</si>
  <si>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</si>
  <si>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</si>
  <si>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</si>
  <si>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</si>
  <si>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</si>
  <si>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</si>
  <si>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</si>
  <si>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</si>
  <si>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ARREAR FROM DATE (DD-MM-YYYY)</t>
  </si>
  <si>
    <t xml:space="preserve"> ARREAR TO DATE (DD-MM-YYYY)</t>
  </si>
  <si>
    <t>POST :</t>
  </si>
  <si>
    <t>Pay Level :</t>
  </si>
  <si>
    <t>OLD BASIC PAY</t>
  </si>
  <si>
    <t>NEW BASIC PAY</t>
  </si>
  <si>
    <t>ITAX</t>
  </si>
  <si>
    <t>TAX DED. IN %</t>
  </si>
  <si>
    <t>EMPLOYEE TYPE</t>
  </si>
  <si>
    <t>S.No.</t>
  </si>
  <si>
    <t>DEDUCTIONS</t>
  </si>
  <si>
    <t xml:space="preserve">  EMPLOYEE NAME : </t>
  </si>
  <si>
    <t xml:space="preserve">  OFFICE NAME : </t>
  </si>
  <si>
    <t>Lecturer</t>
  </si>
  <si>
    <t>Chandra Prakash Kurmi</t>
  </si>
  <si>
    <t>Post :</t>
  </si>
  <si>
    <t>Name :</t>
  </si>
  <si>
    <t>CURRENT HRA IN %</t>
  </si>
  <si>
    <t>Prepared - By CP Kurmi</t>
  </si>
  <si>
    <t>SALARY ARREAR DATA SHEET(From 01-01-2021 and Onward)</t>
  </si>
  <si>
    <t>CCA</t>
  </si>
  <si>
    <t>OTHER</t>
  </si>
  <si>
    <t>For CCA Unhide the Column "I", "N" &amp; "S" and Enter Data Manually</t>
  </si>
  <si>
    <t>Govt. Sr. Sec. Sch. Todaraisingh, Dist-Kekri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</si>
</sst>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/yyyy"/>
    <numFmt numFmtId="165" formatCode="&quot;₹&quot;\ #,##0"/>
    <numFmt numFmtId="166" formatCode="0;\-0;"/>
  </numFmts>
  <fonts count="34" x14ac:knownFonts="1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rgb="FFC00000"/>
      <name val="Bookman Old Style"/>
      <family val="1"/>
    </font>
    <font>
      <b/>
      <sz val="26"/>
      <color rgb="FF7030A0"/>
      <name val="Arial Rounded MT Bold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0"/>
      <name val="Arial Rounded MT Bold"/>
      <family val="2"/>
    </font>
    <font>
      <b/>
      <sz val="12"/>
      <color theme="1"/>
      <name val="Times New Roman"/>
      <family val="1"/>
    </font>
    <font>
      <b/>
      <sz val="16"/>
      <color rgb="FF002060"/>
      <name val="Arial Rounded MT Bold"/>
      <family val="2"/>
    </font>
    <font>
      <b/>
      <sz val="16"/>
      <color rgb="FF002060"/>
      <name val="Bookman Old Style"/>
      <family val="1"/>
    </font>
    <font>
      <b/>
      <sz val="14"/>
      <color rgb="FF002060"/>
      <name val="Arial Rounded MT Bold"/>
      <family val="2"/>
    </font>
    <font>
      <b/>
      <sz val="14"/>
      <color rgb="FF0033CC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0"/>
      <name val="Arial Rounded MT Bold"/>
      <family val="2"/>
    </font>
    <font>
      <b/>
      <sz val="16"/>
      <color theme="0"/>
      <name val="Arial Rounded MT Bold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42">
    <xf numFmtId="0" fontId="0" fillId="0" borderId="0" xfId="0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 applyProtection="1">
      <alignment horizontal="center" vertical="center" wrapText="1"/>
      <protection hidden="1"/>
    </xf>
    <xf numFmtId="0" fontId="1" fillId="2" borderId="0" xfId="0" applyFont="1" applyFill="1"/>
    <xf numFmtId="0" fontId="3" fillId="2" borderId="0" xfId="0" applyFont="1" applyFill="1" applyProtection="1">
      <protection hidden="1"/>
    </xf>
    <xf numFmtId="0" fontId="3" fillId="2" borderId="0" xfId="0" applyFont="1" applyFill="1" applyProtection="1">
      <protection locked="0" hidden="1"/>
    </xf>
    <xf numFmtId="0" fontId="9" fillId="0" borderId="0" xfId="0" applyFont="1" applyProtection="1">
      <protection locked="0" hidden="1"/>
    </xf>
    <xf numFmtId="0" fontId="17" fillId="0" borderId="0" xfId="0" applyFont="1" applyProtection="1"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2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2" borderId="0" xfId="0" applyFont="1" applyFill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8" fillId="3" borderId="1" xfId="0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9" fontId="20" fillId="0" borderId="1" xfId="0" applyNumberFormat="1" applyFont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hidden="1"/>
    </xf>
    <xf numFmtId="14" fontId="12" fillId="2" borderId="0" xfId="0" applyNumberFormat="1" applyFont="1" applyFill="1" applyAlignment="1" applyProtection="1">
      <alignment horizontal="center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1" fontId="13" fillId="2" borderId="0" xfId="0" applyNumberFormat="1" applyFont="1" applyFill="1" applyAlignment="1" applyProtection="1">
      <alignment horizontal="center" vertical="center"/>
      <protection hidden="1"/>
    </xf>
    <xf numFmtId="166" fontId="13" fillId="2" borderId="0" xfId="0" applyNumberFormat="1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1" fontId="13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Protection="1">
      <protection hidden="1"/>
    </xf>
    <xf numFmtId="0" fontId="9" fillId="0" borderId="0" xfId="0" applyFont="1" applyProtection="1">
      <protection hidden="1"/>
    </xf>
    <xf numFmtId="1" fontId="21" fillId="2" borderId="0" xfId="0" applyNumberFormat="1" applyFont="1" applyFill="1" applyAlignment="1" applyProtection="1">
      <alignment horizontal="center" vertical="center"/>
      <protection hidden="1"/>
    </xf>
    <xf numFmtId="1" fontId="22" fillId="2" borderId="0" xfId="0" applyNumberFormat="1" applyFont="1" applyFill="1" applyAlignment="1" applyProtection="1">
      <alignment horizontal="center" vertical="center"/>
      <protection hidden="1"/>
    </xf>
    <xf numFmtId="164" fontId="21" fillId="2" borderId="0" xfId="0" applyNumberFormat="1" applyFont="1" applyFill="1" applyAlignment="1" applyProtection="1">
      <alignment horizontal="center" vertical="center" wrapText="1"/>
      <protection hidden="1"/>
    </xf>
    <xf numFmtId="1" fontId="13" fillId="2" borderId="0" xfId="0" applyNumberFormat="1" applyFont="1" applyFill="1" applyAlignment="1" applyProtection="1">
      <alignment horizontal="center" vertical="center"/>
      <protection locked="0" hidden="1"/>
    </xf>
    <xf numFmtId="166" fontId="13" fillId="2" borderId="0" xfId="0" applyNumberFormat="1" applyFont="1" applyFill="1" applyAlignment="1" applyProtection="1">
      <alignment horizontal="center" vertical="center"/>
      <protection locked="0" hidden="1"/>
    </xf>
    <xf numFmtId="0" fontId="20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17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5" fillId="0" borderId="0" xfId="0" applyFont="1"/>
    <xf numFmtId="0" fontId="26" fillId="0" borderId="0" xfId="0" applyFont="1" applyAlignment="1">
      <alignment vertical="center"/>
    </xf>
    <xf numFmtId="9" fontId="25" fillId="0" borderId="0" xfId="1" applyFont="1" applyFill="1"/>
    <xf numFmtId="0" fontId="27" fillId="0" borderId="0" xfId="0" applyFont="1"/>
    <xf numFmtId="0" fontId="24" fillId="0" borderId="0" xfId="0" applyFont="1"/>
    <xf numFmtId="0" fontId="28" fillId="0" borderId="0" xfId="0" applyFont="1" applyAlignment="1">
      <alignment vertical="center"/>
    </xf>
    <xf numFmtId="9" fontId="28" fillId="0" borderId="0" xfId="1" applyFont="1" applyFill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4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 indent="3"/>
    </xf>
    <xf numFmtId="0" fontId="31" fillId="0" borderId="0" xfId="0" applyFont="1" applyAlignment="1">
      <alignment vertical="center"/>
    </xf>
    <xf numFmtId="0" fontId="28" fillId="0" borderId="0" xfId="0" applyFont="1"/>
    <xf numFmtId="9" fontId="28" fillId="0" borderId="0" xfId="1" applyFont="1" applyFill="1"/>
    <xf numFmtId="0" fontId="29" fillId="0" borderId="0" xfId="0" applyFont="1"/>
    <xf numFmtId="0" fontId="32" fillId="0" borderId="0" xfId="0" applyFont="1" applyAlignment="1" applyProtection="1">
      <alignment vertical="center"/>
      <protection hidden="1"/>
    </xf>
    <xf numFmtId="9" fontId="32" fillId="0" borderId="0" xfId="1" applyFont="1" applyFill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9" fontId="26" fillId="0" borderId="0" xfId="1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6" fillId="0" borderId="0" xfId="0" applyFont="1" applyProtection="1">
      <protection hidden="1"/>
    </xf>
    <xf numFmtId="9" fontId="26" fillId="0" borderId="0" xfId="1" applyFont="1" applyFill="1" applyProtection="1">
      <protection hidden="1"/>
    </xf>
    <xf numFmtId="0" fontId="31" fillId="0" borderId="0" xfId="0" applyFont="1" applyProtection="1">
      <protection hidden="1"/>
    </xf>
    <xf numFmtId="14" fontId="26" fillId="0" borderId="0" xfId="0" applyNumberFormat="1" applyFont="1" applyAlignment="1" applyProtection="1">
      <alignment horizontal="center" vertical="center"/>
      <protection hidden="1"/>
    </xf>
    <xf numFmtId="1" fontId="26" fillId="0" borderId="0" xfId="1" applyNumberFormat="1" applyFont="1" applyFill="1" applyBorder="1" applyAlignment="1" applyProtection="1">
      <alignment horizontal="center" vertical="center" wrapText="1"/>
      <protection hidden="1"/>
    </xf>
    <xf numFmtId="9" fontId="26" fillId="0" borderId="0" xfId="1" applyFont="1" applyFill="1" applyBorder="1" applyAlignment="1" applyProtection="1">
      <alignment horizontal="center" vertical="center" wrapText="1"/>
      <protection hidden="1"/>
    </xf>
    <xf numFmtId="164" fontId="26" fillId="0" borderId="0" xfId="0" applyNumberFormat="1" applyFont="1" applyAlignment="1" applyProtection="1">
      <alignment horizontal="center" vertical="center"/>
      <protection hidden="1"/>
    </xf>
    <xf numFmtId="9" fontId="26" fillId="0" borderId="0" xfId="0" applyNumberFormat="1" applyFont="1" applyAlignment="1" applyProtection="1">
      <alignment horizontal="center" vertical="center"/>
      <protection hidden="1"/>
    </xf>
    <xf numFmtId="0" fontId="30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25" fillId="2" borderId="0" xfId="0" applyFont="1" applyFill="1" applyProtection="1">
      <protection hidden="1"/>
    </xf>
    <xf numFmtId="9" fontId="25" fillId="2" borderId="0" xfId="1" applyFont="1" applyFill="1" applyProtection="1">
      <protection hidden="1"/>
    </xf>
    <xf numFmtId="0" fontId="27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25" fillId="0" borderId="0" xfId="0" applyFont="1" applyProtection="1">
      <protection locked="0" hidden="1"/>
    </xf>
    <xf numFmtId="9" fontId="25" fillId="0" borderId="0" xfId="1" applyFont="1" applyFill="1" applyProtection="1">
      <protection locked="0" hidden="1"/>
    </xf>
    <xf numFmtId="0" fontId="27" fillId="0" borderId="0" xfId="0" applyFont="1" applyProtection="1">
      <protection locked="0" hidden="1"/>
    </xf>
    <xf numFmtId="0" fontId="24" fillId="0" borderId="0" xfId="0" applyFont="1" applyProtection="1">
      <protection locked="0" hidden="1"/>
    </xf>
    <xf numFmtId="0" fontId="13" fillId="2" borderId="0" xfId="0" applyFont="1" applyFill="1" applyAlignment="1" applyProtection="1">
      <alignment horizontal="center" vertical="center"/>
      <protection locked="0"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top"/>
      <protection hidden="1"/>
    </xf>
    <xf numFmtId="0" fontId="18" fillId="2" borderId="2" xfId="0" applyFont="1" applyFill="1" applyBorder="1" applyAlignment="1" applyProtection="1">
      <alignment horizontal="right" vertical="center"/>
      <protection hidden="1"/>
    </xf>
    <xf numFmtId="0" fontId="18" fillId="2" borderId="2" xfId="0" applyFont="1" applyFill="1" applyBorder="1" applyAlignment="1" applyProtection="1">
      <alignment horizontal="center" vertical="center"/>
      <protection hidden="1"/>
    </xf>
    <xf numFmtId="0" fontId="18" fillId="2" borderId="2" xfId="0" applyFont="1" applyFill="1" applyBorder="1" applyAlignment="1" applyProtection="1">
      <alignment horizontal="right" vertical="center" indent="1"/>
      <protection hidden="1"/>
    </xf>
    <xf numFmtId="0" fontId="18" fillId="2" borderId="2" xfId="0" applyFont="1" applyFill="1" applyBorder="1" applyAlignment="1" applyProtection="1">
      <alignment horizontal="left" vertical="center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7" fillId="6" borderId="6" xfId="0" applyFont="1" applyFill="1" applyBorder="1" applyAlignment="1" applyProtection="1">
      <alignment horizontal="center" vertical="center" wrapText="1"/>
      <protection hidden="1"/>
    </xf>
    <xf numFmtId="0" fontId="7" fillId="6" borderId="7" xfId="0" applyFont="1" applyFill="1" applyBorder="1" applyAlignment="1" applyProtection="1">
      <alignment horizontal="center" vertical="center" wrapText="1"/>
      <protection hidden="1"/>
    </xf>
    <xf numFmtId="9" fontId="7" fillId="6" borderId="1" xfId="0" applyNumberFormat="1" applyFont="1" applyFill="1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 vertical="center"/>
      <protection hidden="1"/>
    </xf>
    <xf numFmtId="0" fontId="7" fillId="6" borderId="6" xfId="0" applyFont="1" applyFill="1" applyBorder="1" applyAlignment="1" applyProtection="1">
      <alignment horizontal="center" vertical="center"/>
      <protection locked="0" hidden="1"/>
    </xf>
    <xf numFmtId="0" fontId="7" fillId="6" borderId="7" xfId="0" applyFont="1" applyFill="1" applyBorder="1" applyAlignment="1" applyProtection="1">
      <alignment horizontal="center" vertical="center"/>
      <protection locked="0" hidden="1"/>
    </xf>
    <xf numFmtId="0" fontId="7" fillId="6" borderId="3" xfId="0" applyFont="1" applyFill="1" applyBorder="1" applyAlignment="1" applyProtection="1">
      <alignment horizontal="center" vertical="center"/>
      <protection hidden="1"/>
    </xf>
    <xf numFmtId="0" fontId="7" fillId="6" borderId="4" xfId="0" applyFont="1" applyFill="1" applyBorder="1" applyAlignment="1" applyProtection="1">
      <alignment horizontal="center" vertical="center"/>
      <protection hidden="1"/>
    </xf>
    <xf numFmtId="0" fontId="7" fillId="6" borderId="6" xfId="0" applyFont="1" applyFill="1" applyBorder="1" applyAlignment="1" applyProtection="1">
      <alignment horizontal="center" vertical="center"/>
      <protection hidden="1"/>
    </xf>
    <xf numFmtId="0" fontId="7" fillId="6" borderId="7" xfId="0" applyFont="1" applyFill="1" applyBorder="1" applyAlignment="1" applyProtection="1">
      <alignment horizontal="center" vertical="center"/>
      <protection hidden="1"/>
    </xf>
    <xf numFmtId="0" fontId="8" fillId="5" borderId="3" xfId="0" applyFont="1" applyFill="1" applyBorder="1" applyAlignment="1">
      <alignment horizontal="right" vertical="center" indent="1"/>
    </xf>
    <xf numFmtId="0" fontId="8" fillId="5" borderId="4" xfId="0" applyFont="1" applyFill="1" applyBorder="1" applyAlignment="1">
      <alignment horizontal="right" vertical="center" indent="1"/>
    </xf>
    <xf numFmtId="0" fontId="8" fillId="5" borderId="5" xfId="0" applyFont="1" applyFill="1" applyBorder="1" applyAlignment="1">
      <alignment horizontal="right" vertical="center" indent="1"/>
    </xf>
    <xf numFmtId="0" fontId="8" fillId="5" borderId="3" xfId="0" applyFont="1" applyFill="1" applyBorder="1" applyAlignment="1" applyProtection="1">
      <alignment horizontal="center" vertical="center"/>
      <protection hidden="1"/>
    </xf>
    <xf numFmtId="0" fontId="8" fillId="5" borderId="4" xfId="0" applyFont="1" applyFill="1" applyBorder="1" applyAlignment="1" applyProtection="1">
      <alignment horizontal="center" vertical="center"/>
      <protection hidden="1"/>
    </xf>
    <xf numFmtId="0" fontId="8" fillId="5" borderId="5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19" fillId="0" borderId="8" xfId="0" applyFont="1" applyBorder="1" applyAlignment="1" applyProtection="1">
      <alignment horizontal="left" vertical="center" indent="1"/>
      <protection locked="0"/>
    </xf>
    <xf numFmtId="0" fontId="19" fillId="0" borderId="2" xfId="0" applyFont="1" applyBorder="1" applyAlignment="1" applyProtection="1">
      <alignment horizontal="left" vertical="center" indent="1"/>
      <protection locked="0"/>
    </xf>
    <xf numFmtId="0" fontId="19" fillId="0" borderId="9" xfId="0" applyFont="1" applyBorder="1" applyAlignment="1" applyProtection="1">
      <alignment horizontal="left" vertical="center" indent="1"/>
      <protection locked="0"/>
    </xf>
    <xf numFmtId="0" fontId="18" fillId="0" borderId="1" xfId="0" applyFont="1" applyBorder="1" applyAlignment="1" applyProtection="1">
      <alignment horizontal="left" vertical="center" indent="1"/>
      <protection locked="0"/>
    </xf>
    <xf numFmtId="0" fontId="18" fillId="0" borderId="3" xfId="0" applyFont="1" applyBorder="1" applyAlignment="1" applyProtection="1">
      <alignment horizontal="left" vertical="center" inden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9" fontId="8" fillId="0" borderId="3" xfId="0" applyNumberFormat="1" applyFont="1" applyBorder="1" applyAlignment="1" applyProtection="1">
      <alignment horizontal="center" vertical="center"/>
      <protection locked="0"/>
    </xf>
    <xf numFmtId="9" fontId="8" fillId="0" borderId="4" xfId="0" applyNumberFormat="1" applyFont="1" applyBorder="1" applyAlignment="1" applyProtection="1">
      <alignment horizontal="center" vertical="center"/>
      <protection locked="0"/>
    </xf>
    <xf numFmtId="0" fontId="8" fillId="5" borderId="3" xfId="0" applyFont="1" applyFill="1" applyBorder="1" applyAlignment="1">
      <alignment horizontal="right" vertical="center" indent="2"/>
    </xf>
    <xf numFmtId="0" fontId="8" fillId="5" borderId="4" xfId="0" applyFont="1" applyFill="1" applyBorder="1" applyAlignment="1">
      <alignment horizontal="right" vertical="center" indent="2"/>
    </xf>
    <xf numFmtId="0" fontId="8" fillId="5" borderId="5" xfId="0" applyFont="1" applyFill="1" applyBorder="1" applyAlignment="1">
      <alignment horizontal="right" vertical="center" indent="2"/>
    </xf>
    <xf numFmtId="0" fontId="16" fillId="7" borderId="0" xfId="0" applyFont="1" applyFill="1" applyAlignment="1">
      <alignment horizontal="center" vertical="center"/>
    </xf>
    <xf numFmtId="165" fontId="8" fillId="0" borderId="1" xfId="0" applyNumberFormat="1" applyFont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">
    <dxf>
      <font>
        <b/>
        <i val="0"/>
        <color rgb="FFC0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colors>
    <mruColors>
      <color rgb="FF0033CC"/>
      <color rgb="FFFFFFC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ssrashtriya.org/office-orde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137583</xdr:colOff>
      <xdr:row>1</xdr:row>
      <xdr:rowOff>10583</xdr:rowOff>
    </xdr:from>
    <xdr:to>
      <xdr:col>4</xdr:col>
      <xdr:colOff>751415</xdr:colOff>
      <xdr:row>4</xdr:row>
      <xdr:rowOff>222248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FF960AA2-B5EF-7E35-5C6F-97518EB3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3" y="550333"/>
          <a:ext cx="1100665" cy="110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  <pageSetUpPr fitToPage="1"/>
  </sheetPr>
  <dimension ref="A1:XFC75"/>
  <sheetViews>
    <sheetView tabSelected="1" zoomScale="90" zoomScaleNormal="90" workbookViewId="0">
      <pane xSplit="5" ySplit="13" topLeftCell="F14" activePane="bottomRight" state="frozen"/>
      <selection pane="topRight" activeCell="F1" sqref="F1"/>
      <selection pane="bottomLeft" activeCell="A15" sqref="A15"/>
      <selection pane="bottomRight" activeCell="Y13" sqref="Y13"/>
    </sheetView>
  </sheetViews>
  <sheetFormatPr defaultColWidth="0" defaultRowHeight="18.75" zeroHeight="1" x14ac:dyDescent="0.3"/>
  <cols>
    <col min="1" max="1" width="2.28515625" style="9" hidden="1" customWidth="1"/>
    <col min="2" max="2" width="11.5703125" style="10" hidden="1" customWidth="1"/>
    <col min="3" max="3" width="4.140625" style="11" hidden="1" customWidth="1"/>
    <col min="4" max="4" width="7.28515625" style="11" bestFit="1" customWidth="1"/>
    <col min="5" max="5" width="12.7109375" style="11" customWidth="1"/>
    <col min="6" max="6" width="11.5703125" style="11" bestFit="1" customWidth="1"/>
    <col min="7" max="7" width="11.42578125" style="11" bestFit="1" customWidth="1"/>
    <col min="8" max="8" width="10" style="11" bestFit="1" customWidth="1"/>
    <col min="9" max="9" width="8.7109375" style="11" hidden="1" customWidth="1"/>
    <col min="10" max="12" width="11.42578125" style="11" bestFit="1" customWidth="1"/>
    <col min="13" max="13" width="10" style="11" customWidth="1"/>
    <col min="14" max="14" width="7.140625" style="11" hidden="1" customWidth="1"/>
    <col min="15" max="15" width="11.42578125" style="11" bestFit="1" customWidth="1"/>
    <col min="16" max="17" width="10" style="11" bestFit="1" customWidth="1"/>
    <col min="18" max="18" width="8.5703125" style="11" bestFit="1" customWidth="1"/>
    <col min="19" max="19" width="8.42578125" style="11" hidden="1" customWidth="1"/>
    <col min="20" max="20" width="10" style="11" bestFit="1" customWidth="1"/>
    <col min="21" max="21" width="8.5703125" style="11" bestFit="1" customWidth="1"/>
    <col min="22" max="22" width="10.5703125" style="11" bestFit="1" customWidth="1"/>
    <col min="23" max="23" width="8.7109375" style="11" customWidth="1"/>
    <col min="24" max="24" width="8.5703125" style="11" bestFit="1" customWidth="1"/>
    <col min="25" max="25" width="10.5703125" style="11" bestFit="1" customWidth="1"/>
    <col min="26" max="26" width="9" style="11" customWidth="1"/>
    <col min="27" max="27" width="9.140625" style="11" bestFit="1" customWidth="1"/>
    <col min="28" max="28" width="8.5703125" style="11" bestFit="1" customWidth="1"/>
    <col min="29" max="29" width="9.42578125" style="12" customWidth="1"/>
    <col min="30" max="30" width="11.140625" style="13" customWidth="1"/>
    <col min="31" max="31" width="0.5703125" style="8" customWidth="1"/>
    <col min="32" max="32" width="4.28515625" style="8" hidden="1"/>
    <col min="33" max="36" width="4.7109375" style="83" hidden="1"/>
    <col min="37" max="37" width="4.7109375" style="84" hidden="1"/>
    <col min="38" max="42" width="4.7109375" style="83" hidden="1"/>
    <col min="43" max="43" width="4.7109375" style="84" hidden="1"/>
    <col min="44" max="44" width="4.7109375" style="83" hidden="1"/>
    <col min="45" max="48" width="4.7109375" style="85" hidden="1"/>
    <col min="49" max="61" width="5.28515625" style="86" hidden="1"/>
    <col min="62" max="16383" width="5.28515625" style="9" hidden="1"/>
    <col min="16384" max="16384" width="4.28515625" style="9" hidden="1"/>
  </cols>
  <sheetData>
    <row r="1" spans="1:61" s="3" customFormat="1" ht="42.75" customHeight="1" x14ac:dyDescent="0.3">
      <c r="D1" s="133" t="s">
        <v>71</v>
      </c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20"/>
      <c r="AF1" s="6"/>
      <c r="AG1" s="45"/>
      <c r="AH1" s="46"/>
      <c r="AI1" s="45"/>
      <c r="AJ1" s="45"/>
      <c r="AK1" s="47"/>
      <c r="AL1" s="45"/>
      <c r="AM1" s="45"/>
      <c r="AN1" s="45"/>
      <c r="AO1" s="45"/>
      <c r="AP1" s="45"/>
      <c r="AQ1" s="47"/>
      <c r="AR1" s="45"/>
      <c r="AS1" s="48"/>
      <c r="AT1" s="48"/>
      <c r="AU1" s="48"/>
      <c r="AV1" s="48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</row>
    <row r="2" spans="1:61" s="2" customFormat="1" ht="23.25" x14ac:dyDescent="0.3">
      <c r="D2" s="135"/>
      <c r="E2" s="136"/>
      <c r="F2" s="105" t="s">
        <v>64</v>
      </c>
      <c r="G2" s="106"/>
      <c r="H2" s="106"/>
      <c r="I2" s="106"/>
      <c r="J2" s="106"/>
      <c r="K2" s="107"/>
      <c r="L2" s="115" t="s">
        <v>75</v>
      </c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7"/>
      <c r="Y2" s="112" t="s">
        <v>60</v>
      </c>
      <c r="Z2" s="113"/>
      <c r="AA2" s="113"/>
      <c r="AB2" s="114"/>
      <c r="AC2" s="128" t="s">
        <v>8</v>
      </c>
      <c r="AD2" s="129"/>
      <c r="AE2" s="121"/>
      <c r="AF2" s="6"/>
      <c r="AG2" s="50"/>
      <c r="AH2" s="46"/>
      <c r="AI2" s="50"/>
      <c r="AJ2" s="50"/>
      <c r="AK2" s="51"/>
      <c r="AL2" s="50"/>
      <c r="AM2" s="50"/>
      <c r="AN2" s="50"/>
      <c r="AO2" s="50"/>
      <c r="AP2" s="50"/>
      <c r="AQ2" s="51"/>
      <c r="AR2" s="50"/>
      <c r="AS2" s="52"/>
      <c r="AT2" s="52"/>
      <c r="AU2" s="52"/>
      <c r="AV2" s="52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</row>
    <row r="3" spans="1:61" s="2" customFormat="1" ht="23.25" x14ac:dyDescent="0.3">
      <c r="D3" s="137"/>
      <c r="E3" s="138"/>
      <c r="F3" s="105" t="s">
        <v>63</v>
      </c>
      <c r="G3" s="106"/>
      <c r="H3" s="106"/>
      <c r="I3" s="106"/>
      <c r="J3" s="106"/>
      <c r="K3" s="107"/>
      <c r="L3" s="118" t="s">
        <v>66</v>
      </c>
      <c r="M3" s="118"/>
      <c r="N3" s="118"/>
      <c r="O3" s="118"/>
      <c r="P3" s="118"/>
      <c r="Q3" s="118"/>
      <c r="R3" s="118"/>
      <c r="S3" s="118"/>
      <c r="T3" s="118"/>
      <c r="U3" s="141" t="s">
        <v>54</v>
      </c>
      <c r="V3" s="141"/>
      <c r="W3" s="118" t="s">
        <v>65</v>
      </c>
      <c r="X3" s="118"/>
      <c r="Y3" s="118"/>
      <c r="Z3" s="118"/>
      <c r="AA3" s="118"/>
      <c r="AB3" s="118"/>
      <c r="AC3" s="118"/>
      <c r="AD3" s="119"/>
      <c r="AE3" s="121"/>
      <c r="AF3" s="6"/>
      <c r="AG3" s="53"/>
      <c r="AH3" s="46"/>
      <c r="AI3" s="50"/>
      <c r="AJ3" s="50"/>
      <c r="AK3" s="51"/>
      <c r="AL3" s="50"/>
      <c r="AM3" s="50"/>
      <c r="AN3" s="50"/>
      <c r="AO3" s="50"/>
      <c r="AP3" s="50"/>
      <c r="AQ3" s="51"/>
      <c r="AR3" s="50"/>
      <c r="AS3" s="52"/>
      <c r="AT3" s="52"/>
      <c r="AU3" s="52"/>
      <c r="AV3" s="52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</row>
    <row r="4" spans="1:61" s="1" customFormat="1" ht="23.25" x14ac:dyDescent="0.3">
      <c r="C4" s="2"/>
      <c r="D4" s="137"/>
      <c r="E4" s="138"/>
      <c r="F4" s="130" t="s">
        <v>52</v>
      </c>
      <c r="G4" s="131"/>
      <c r="H4" s="131"/>
      <c r="I4" s="131"/>
      <c r="J4" s="131"/>
      <c r="K4" s="132"/>
      <c r="L4" s="21">
        <v>1</v>
      </c>
      <c r="M4" s="22" t="s">
        <v>17</v>
      </c>
      <c r="N4" s="124">
        <v>2024</v>
      </c>
      <c r="O4" s="125"/>
      <c r="P4" s="112" t="s">
        <v>56</v>
      </c>
      <c r="Q4" s="113"/>
      <c r="R4" s="114"/>
      <c r="S4" s="134">
        <v>80000</v>
      </c>
      <c r="T4" s="134"/>
      <c r="U4" s="134"/>
      <c r="V4" s="141" t="s">
        <v>69</v>
      </c>
      <c r="W4" s="141"/>
      <c r="X4" s="141"/>
      <c r="Y4" s="141"/>
      <c r="Z4" s="25">
        <v>0.1</v>
      </c>
      <c r="AA4" s="108" t="s">
        <v>55</v>
      </c>
      <c r="AB4" s="109"/>
      <c r="AC4" s="110"/>
      <c r="AD4" s="40" t="s">
        <v>15</v>
      </c>
      <c r="AE4" s="121"/>
      <c r="AF4" s="6"/>
      <c r="AG4" s="54">
        <f>DATEVALUE(M4&amp;N4)</f>
        <v>45292</v>
      </c>
      <c r="AH4" s="54">
        <f>DATEVALUE(L4&amp;M4&amp;N4)</f>
        <v>45292</v>
      </c>
      <c r="AI4" s="55">
        <f>DAY(AH4)</f>
        <v>1</v>
      </c>
      <c r="AJ4" s="55">
        <f>AI5-AI4+1</f>
        <v>31</v>
      </c>
      <c r="AK4" s="56">
        <f>DATEDIF(AG4,AN4,"M")</f>
        <v>5</v>
      </c>
      <c r="AL4" s="56"/>
      <c r="AM4" s="55"/>
      <c r="AN4" s="54">
        <f>DATEVALUE(M5&amp;N5)</f>
        <v>45444</v>
      </c>
      <c r="AO4" s="55">
        <f t="shared" ref="AO4:AO5" si="0">DAY(AN4)</f>
        <v>1</v>
      </c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7"/>
      <c r="BD4" s="57"/>
      <c r="BE4" s="57"/>
      <c r="BF4" s="57"/>
      <c r="BG4" s="57"/>
      <c r="BH4" s="57"/>
      <c r="BI4" s="57"/>
    </row>
    <row r="5" spans="1:61" s="1" customFormat="1" ht="23.25" x14ac:dyDescent="0.3">
      <c r="C5" s="2"/>
      <c r="D5" s="139"/>
      <c r="E5" s="140"/>
      <c r="F5" s="130" t="s">
        <v>53</v>
      </c>
      <c r="G5" s="131"/>
      <c r="H5" s="131"/>
      <c r="I5" s="131"/>
      <c r="J5" s="131"/>
      <c r="K5" s="132"/>
      <c r="L5" s="23"/>
      <c r="M5" s="24" t="s">
        <v>22</v>
      </c>
      <c r="N5" s="126">
        <v>2024</v>
      </c>
      <c r="O5" s="127"/>
      <c r="P5" s="112" t="s">
        <v>57</v>
      </c>
      <c r="Q5" s="113"/>
      <c r="R5" s="114"/>
      <c r="S5" s="134">
        <v>90000</v>
      </c>
      <c r="T5" s="134"/>
      <c r="U5" s="134"/>
      <c r="V5" s="141" t="s">
        <v>59</v>
      </c>
      <c r="W5" s="141"/>
      <c r="X5" s="141"/>
      <c r="Y5" s="141"/>
      <c r="Z5" s="25">
        <v>0.2</v>
      </c>
      <c r="AA5" s="108" t="s">
        <v>70</v>
      </c>
      <c r="AB5" s="109"/>
      <c r="AC5" s="109"/>
      <c r="AD5" s="109"/>
      <c r="AE5" s="122"/>
      <c r="AF5" s="6"/>
      <c r="AG5" s="56"/>
      <c r="AH5" s="54">
        <f>EOMONTH(AH4,0)</f>
        <v>45322</v>
      </c>
      <c r="AI5" s="55">
        <f>DAY(AH5)</f>
        <v>31</v>
      </c>
      <c r="AJ5" s="56"/>
      <c r="AK5" s="56">
        <f>AK4+2</f>
        <v>7</v>
      </c>
      <c r="AL5" s="56"/>
      <c r="AM5" s="55"/>
      <c r="AN5" s="54">
        <f>EOMONTH(AN4,0)</f>
        <v>45473</v>
      </c>
      <c r="AO5" s="55">
        <f t="shared" si="0"/>
        <v>30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7"/>
      <c r="BD5" s="57"/>
      <c r="BE5" s="57"/>
      <c r="BF5" s="57"/>
      <c r="BG5" s="57"/>
      <c r="BH5" s="57"/>
      <c r="BI5" s="57"/>
    </row>
    <row r="6" spans="1:61" s="1" customFormat="1" ht="16.5" customHeight="1" x14ac:dyDescent="0.3">
      <c r="C6" s="2"/>
      <c r="D6" s="123" t="s">
        <v>74</v>
      </c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41"/>
      <c r="AF6" s="6"/>
      <c r="AG6" s="56"/>
      <c r="AH6" s="54"/>
      <c r="AI6" s="55"/>
      <c r="AJ6" s="56"/>
      <c r="AK6" s="56"/>
      <c r="AL6" s="56"/>
      <c r="AM6" s="55"/>
      <c r="AN6" s="54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7"/>
      <c r="BD6" s="57"/>
      <c r="BE6" s="57"/>
      <c r="BF6" s="57"/>
      <c r="BG6" s="57"/>
      <c r="BH6" s="57"/>
      <c r="BI6" s="57"/>
    </row>
    <row r="7" spans="1:61" s="4" customFormat="1" ht="34.5" customHeight="1" x14ac:dyDescent="0.35">
      <c r="B7" s="88" t="str">
        <f>CONCATENATE("Office of the ", L2)</f>
        <v>Office of the Govt. Sr. Sec. Sch. Todaraisingh, Dist-Kekri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6"/>
      <c r="AF7" s="6"/>
      <c r="AG7" s="58"/>
      <c r="AH7" s="58"/>
      <c r="AI7" s="58"/>
      <c r="AJ7" s="58"/>
      <c r="AK7" s="59"/>
      <c r="AL7" s="58"/>
      <c r="AM7" s="58"/>
      <c r="AN7" s="58"/>
      <c r="AO7" s="58"/>
      <c r="AP7" s="58"/>
      <c r="AQ7" s="59"/>
      <c r="AR7" s="58"/>
      <c r="AS7" s="55"/>
      <c r="AT7" s="55" t="s">
        <v>17</v>
      </c>
      <c r="AU7" s="55">
        <v>1</v>
      </c>
      <c r="AV7" s="55" t="s">
        <v>29</v>
      </c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</row>
    <row r="8" spans="1:61" s="4" customFormat="1" ht="33" customHeight="1" x14ac:dyDescent="0.35">
      <c r="B8" s="89" t="str">
        <f>CONCATENATE("SALARY ARREAR FROM ",TEXT($AH$4,"DD-MM-YYYY")," ", "to"," ",TEXT($AN$5,"DD-MM-YYYY"))</f>
        <v>SALARY ARREAR FROM 01-01-2024 to 30-06-2024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6"/>
      <c r="AF8" s="6"/>
      <c r="AG8" s="58"/>
      <c r="AH8" s="58"/>
      <c r="AI8" s="58"/>
      <c r="AJ8" s="58"/>
      <c r="AK8" s="59"/>
      <c r="AL8" s="58"/>
      <c r="AM8" s="58"/>
      <c r="AN8" s="58"/>
      <c r="AO8" s="58"/>
      <c r="AP8" s="58"/>
      <c r="AQ8" s="59"/>
      <c r="AR8" s="58"/>
      <c r="AS8" s="55"/>
      <c r="AT8" s="55" t="s">
        <v>18</v>
      </c>
      <c r="AU8" s="55">
        <v>2</v>
      </c>
      <c r="AV8" s="55" t="s">
        <v>30</v>
      </c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</row>
    <row r="9" spans="1:61" s="18" customFormat="1" ht="19.5" x14ac:dyDescent="0.25">
      <c r="C9" s="19"/>
      <c r="D9" s="91" t="s">
        <v>68</v>
      </c>
      <c r="E9" s="91"/>
      <c r="F9" s="93" t="str">
        <f>IF(L3="","",L3)</f>
        <v>Chandra Prakash Kurmi</v>
      </c>
      <c r="G9" s="93"/>
      <c r="H9" s="93"/>
      <c r="I9" s="93"/>
      <c r="J9" s="93"/>
      <c r="K9" s="93"/>
      <c r="L9" s="92" t="s">
        <v>67</v>
      </c>
      <c r="M9" s="92"/>
      <c r="N9" s="92"/>
      <c r="O9" s="92"/>
      <c r="P9" s="93" t="str">
        <f>IF(W3="","",W3)</f>
        <v>Lecturer</v>
      </c>
      <c r="Q9" s="93"/>
      <c r="R9" s="93"/>
      <c r="S9" s="93"/>
      <c r="T9" s="93"/>
      <c r="U9" s="93"/>
      <c r="V9" s="93"/>
      <c r="W9" s="93"/>
      <c r="X9" s="20"/>
      <c r="Z9" s="90" t="s">
        <v>16</v>
      </c>
      <c r="AA9" s="90"/>
      <c r="AB9" s="90"/>
      <c r="AC9" s="19" t="str">
        <f>IF(AD4="","",AD4)</f>
        <v>L-14</v>
      </c>
      <c r="AD9" s="20"/>
      <c r="AE9" s="20"/>
      <c r="AF9" s="20"/>
      <c r="AG9" s="61"/>
      <c r="AH9" s="61"/>
      <c r="AI9" s="61"/>
      <c r="AJ9" s="61"/>
      <c r="AK9" s="62"/>
      <c r="AL9" s="61"/>
      <c r="AM9" s="61"/>
      <c r="AN9" s="61"/>
      <c r="AO9" s="61"/>
      <c r="AP9" s="61"/>
      <c r="AQ9" s="62"/>
      <c r="AR9" s="61"/>
      <c r="AS9" s="55"/>
      <c r="AT9" s="55" t="s">
        <v>19</v>
      </c>
      <c r="AU9" s="55">
        <v>3</v>
      </c>
      <c r="AV9" s="55" t="s">
        <v>31</v>
      </c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</row>
    <row r="10" spans="1:61" s="15" customFormat="1" ht="33.75" customHeight="1" x14ac:dyDescent="0.25">
      <c r="B10" s="111" t="s">
        <v>13</v>
      </c>
      <c r="C10" s="5"/>
      <c r="D10" s="94" t="s">
        <v>61</v>
      </c>
      <c r="E10" s="94" t="s">
        <v>13</v>
      </c>
      <c r="F10" s="98" t="s">
        <v>2</v>
      </c>
      <c r="G10" s="98"/>
      <c r="H10" s="98"/>
      <c r="I10" s="98"/>
      <c r="J10" s="98"/>
      <c r="K10" s="98" t="s">
        <v>3</v>
      </c>
      <c r="L10" s="98"/>
      <c r="M10" s="98"/>
      <c r="N10" s="98"/>
      <c r="O10" s="98"/>
      <c r="P10" s="98" t="s">
        <v>4</v>
      </c>
      <c r="Q10" s="98"/>
      <c r="R10" s="98"/>
      <c r="S10" s="98"/>
      <c r="T10" s="98"/>
      <c r="U10" s="101" t="s">
        <v>62</v>
      </c>
      <c r="V10" s="102"/>
      <c r="W10" s="102"/>
      <c r="X10" s="102"/>
      <c r="Y10" s="102"/>
      <c r="Z10" s="102"/>
      <c r="AA10" s="102"/>
      <c r="AB10" s="102"/>
      <c r="AC10" s="94" t="s">
        <v>5</v>
      </c>
      <c r="AD10" s="94" t="s">
        <v>6</v>
      </c>
      <c r="AE10" s="14"/>
      <c r="AF10" s="14"/>
      <c r="AG10" s="64"/>
      <c r="AH10" s="64"/>
      <c r="AI10" s="64" t="s">
        <v>0</v>
      </c>
      <c r="AJ10" s="64" t="s">
        <v>7</v>
      </c>
      <c r="AK10" s="65" t="s">
        <v>8</v>
      </c>
      <c r="AL10" s="64"/>
      <c r="AM10" s="64"/>
      <c r="AN10" s="64"/>
      <c r="AO10" s="64"/>
      <c r="AP10" s="64"/>
      <c r="AQ10" s="65"/>
      <c r="AR10" s="64"/>
      <c r="AS10" s="66"/>
      <c r="AT10" s="66" t="s">
        <v>20</v>
      </c>
      <c r="AU10" s="66">
        <v>4</v>
      </c>
      <c r="AV10" s="66" t="s">
        <v>32</v>
      </c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</row>
    <row r="11" spans="1:61" s="15" customFormat="1" ht="21.75" customHeight="1" x14ac:dyDescent="0.25">
      <c r="B11" s="111"/>
      <c r="C11" s="5"/>
      <c r="D11" s="94"/>
      <c r="E11" s="94"/>
      <c r="F11" s="98" t="s">
        <v>14</v>
      </c>
      <c r="G11" s="98" t="s">
        <v>0</v>
      </c>
      <c r="H11" s="94" t="s">
        <v>7</v>
      </c>
      <c r="I11" s="95" t="s">
        <v>72</v>
      </c>
      <c r="J11" s="98" t="s">
        <v>1</v>
      </c>
      <c r="K11" s="98" t="s">
        <v>14</v>
      </c>
      <c r="L11" s="98" t="s">
        <v>0</v>
      </c>
      <c r="M11" s="94" t="s">
        <v>7</v>
      </c>
      <c r="N11" s="95" t="s">
        <v>72</v>
      </c>
      <c r="O11" s="98" t="s">
        <v>1</v>
      </c>
      <c r="P11" s="98" t="s">
        <v>14</v>
      </c>
      <c r="Q11" s="98" t="s">
        <v>0</v>
      </c>
      <c r="R11" s="94" t="s">
        <v>7</v>
      </c>
      <c r="S11" s="95" t="s">
        <v>72</v>
      </c>
      <c r="T11" s="98" t="s">
        <v>1</v>
      </c>
      <c r="U11" s="97" t="str">
        <f>AC2</f>
        <v>GPF</v>
      </c>
      <c r="V11" s="98"/>
      <c r="W11" s="98"/>
      <c r="X11" s="98" t="s">
        <v>12</v>
      </c>
      <c r="Y11" s="98"/>
      <c r="Z11" s="98"/>
      <c r="AA11" s="99" t="s">
        <v>73</v>
      </c>
      <c r="AB11" s="103" t="s">
        <v>58</v>
      </c>
      <c r="AC11" s="94"/>
      <c r="AD11" s="94"/>
      <c r="AE11" s="14"/>
      <c r="AF11" s="14"/>
      <c r="AG11" s="64"/>
      <c r="AH11" s="64"/>
      <c r="AI11" s="64"/>
      <c r="AJ11" s="64"/>
      <c r="AK11" s="65"/>
      <c r="AL11" s="64"/>
      <c r="AM11" s="64"/>
      <c r="AN11" s="64" t="s">
        <v>0</v>
      </c>
      <c r="AO11" s="64" t="s">
        <v>7</v>
      </c>
      <c r="AP11" s="64"/>
      <c r="AQ11" s="65" t="s">
        <v>8</v>
      </c>
      <c r="AR11" s="64"/>
      <c r="AS11" s="66"/>
      <c r="AT11" s="66" t="s">
        <v>21</v>
      </c>
      <c r="AU11" s="66">
        <v>5</v>
      </c>
      <c r="AV11" s="66" t="s">
        <v>33</v>
      </c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</row>
    <row r="12" spans="1:61" s="17" customFormat="1" ht="21.75" customHeight="1" x14ac:dyDescent="0.3">
      <c r="B12" s="111"/>
      <c r="C12" s="5"/>
      <c r="D12" s="94"/>
      <c r="E12" s="94"/>
      <c r="F12" s="98"/>
      <c r="G12" s="98"/>
      <c r="H12" s="94"/>
      <c r="I12" s="96"/>
      <c r="J12" s="98"/>
      <c r="K12" s="98"/>
      <c r="L12" s="98"/>
      <c r="M12" s="94"/>
      <c r="N12" s="96"/>
      <c r="O12" s="98"/>
      <c r="P12" s="98"/>
      <c r="Q12" s="98"/>
      <c r="R12" s="94"/>
      <c r="S12" s="96"/>
      <c r="T12" s="98"/>
      <c r="U12" s="26" t="s">
        <v>9</v>
      </c>
      <c r="V12" s="26" t="s">
        <v>10</v>
      </c>
      <c r="W12" s="26" t="s">
        <v>11</v>
      </c>
      <c r="X12" s="26" t="s">
        <v>9</v>
      </c>
      <c r="Y12" s="26" t="s">
        <v>10</v>
      </c>
      <c r="Z12" s="26" t="s">
        <v>11</v>
      </c>
      <c r="AA12" s="100"/>
      <c r="AB12" s="104"/>
      <c r="AC12" s="94"/>
      <c r="AD12" s="94"/>
      <c r="AE12" s="16"/>
      <c r="AF12" s="16"/>
      <c r="AG12" s="68"/>
      <c r="AH12" s="68"/>
      <c r="AI12" s="68"/>
      <c r="AJ12" s="68"/>
      <c r="AK12" s="69"/>
      <c r="AL12" s="68"/>
      <c r="AM12" s="68"/>
      <c r="AN12" s="68"/>
      <c r="AO12" s="68"/>
      <c r="AP12" s="68"/>
      <c r="AQ12" s="69"/>
      <c r="AR12" s="68"/>
      <c r="AS12" s="66"/>
      <c r="AT12" s="66" t="s">
        <v>22</v>
      </c>
      <c r="AU12" s="66">
        <v>6</v>
      </c>
      <c r="AV12" s="66" t="s">
        <v>34</v>
      </c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</row>
    <row r="13" spans="1:61" s="15" customFormat="1" ht="25.5" customHeight="1" x14ac:dyDescent="0.25">
      <c r="A13" s="14"/>
      <c r="B13" s="27">
        <f>AG4</f>
        <v>45292</v>
      </c>
      <c r="C13" s="28" t="str">
        <f t="shared" ref="C13:C25" si="1">TEXT(E13,"MMM")</f>
        <v>Jan</v>
      </c>
      <c r="D13" s="28">
        <v>1</v>
      </c>
      <c r="E13" s="37" t="str">
        <f t="shared" ref="E13:E25" si="2">TEXT(B13,"MMM-YYYY")</f>
        <v>Jan-2024</v>
      </c>
      <c r="F13" s="29">
        <f>IF(E13="","",ROUND(S5*AJ4/AI5,0))</f>
        <v>90000</v>
      </c>
      <c r="G13" s="29">
        <f>IF(E13="","",ROUND(F13*AI13/100,0))</f>
        <v>45000</v>
      </c>
      <c r="H13" s="38">
        <f>IF(E13="","",ROUND(F13*AJ13/100,0))</f>
        <v>8100</v>
      </c>
      <c r="I13" s="38">
        <v>0</v>
      </c>
      <c r="J13" s="35">
        <f>IF(E13="","",SUM(F13:I13))</f>
        <v>143100</v>
      </c>
      <c r="K13" s="38">
        <f>IF(E13="","",ROUND(S4*AJ4/AI5,0))</f>
        <v>80000</v>
      </c>
      <c r="L13" s="38">
        <f>IF(E13="","",ROUND(K13*AI13/100,0))</f>
        <v>40000</v>
      </c>
      <c r="M13" s="38">
        <f>IF(E13="","",ROUND(K13*AJ13/100,0))</f>
        <v>7200</v>
      </c>
      <c r="N13" s="38">
        <v>0</v>
      </c>
      <c r="O13" s="35">
        <f>IF(E13="","",SUM(K13:N13))</f>
        <v>127200</v>
      </c>
      <c r="P13" s="29">
        <f t="shared" ref="P13:P25" si="3">IF(E13="","",F13-K13)</f>
        <v>10000</v>
      </c>
      <c r="Q13" s="29">
        <f t="shared" ref="Q13:Q25" si="4">IF(E13="","",G13-L13)</f>
        <v>5000</v>
      </c>
      <c r="R13" s="29">
        <f t="shared" ref="R13:R25" si="5">IF(E13="","",H13-M13)</f>
        <v>900</v>
      </c>
      <c r="S13" s="29">
        <f>IF(E13="","",I13-N13)</f>
        <v>0</v>
      </c>
      <c r="T13" s="35">
        <f>IF(E13="","",SUM(P13:S13))</f>
        <v>15900</v>
      </c>
      <c r="U13" s="39">
        <f>IF(E13="","",ROUND(F13*AK13,0))</f>
        <v>3600</v>
      </c>
      <c r="V13" s="39">
        <f>IF(E13="","",ROUND(K13*AK13,0))</f>
        <v>3200</v>
      </c>
      <c r="W13" s="30">
        <f t="shared" ref="W13" si="6">IF(E13="","",U13-V13)</f>
        <v>400</v>
      </c>
      <c r="X13" s="87">
        <f>IF(S5&lt;18001,265,IF(S5&lt;33501,440,IF(S5&lt;54001,658,875)))</f>
        <v>875</v>
      </c>
      <c r="Y13" s="87">
        <f>IF(S4&lt;18001,265,IF(S4&lt;33501,440,IF(S4&lt;54001,658,875)))</f>
        <v>875</v>
      </c>
      <c r="Z13" s="31">
        <f>X13-Y13</f>
        <v>0</v>
      </c>
      <c r="AA13" s="39">
        <v>0</v>
      </c>
      <c r="AB13" s="30">
        <f>ROUND(T13*Z5,0)</f>
        <v>3180</v>
      </c>
      <c r="AC13" s="35">
        <f>IF(E13="","",SUM(W13,Z13,AA13,AB13))</f>
        <v>3580</v>
      </c>
      <c r="AD13" s="36">
        <f>IF(E13="","",T13-AC13)</f>
        <v>12320</v>
      </c>
      <c r="AE13" s="14"/>
      <c r="AF13" s="14"/>
      <c r="AG13" s="71">
        <f>B13</f>
        <v>45292</v>
      </c>
      <c r="AH13" s="71"/>
      <c r="AI13" s="72">
        <f>IF(OR(E13="",E13="TOTAL"),"",VLOOKUP(DATEVALUE(E13),AM13:$AR$66,2,0))</f>
        <v>50</v>
      </c>
      <c r="AJ13" s="72">
        <f>IF(OR(E13="",E13="TOTAL"),"",VLOOKUP(DATEVALUE(E13),AM13:$AR$66,3,0))</f>
        <v>9</v>
      </c>
      <c r="AK13" s="73">
        <f>IF(OR(E13="",E13="TOTAL"),"",VLOOKUP(DATEVALUE(E13),AM13:$AR$66,5,0))</f>
        <v>0.04</v>
      </c>
      <c r="AL13" s="71"/>
      <c r="AM13" s="74">
        <v>44197</v>
      </c>
      <c r="AN13" s="64">
        <v>17</v>
      </c>
      <c r="AO13" s="64">
        <f>IF($Z$4=0%,0,IF($Z$4=10%,8,IF($Z$4=20%,16,"")))</f>
        <v>8</v>
      </c>
      <c r="AP13" s="64"/>
      <c r="AQ13" s="65"/>
      <c r="AR13" s="75"/>
      <c r="AS13" s="66"/>
      <c r="AT13" s="66" t="s">
        <v>23</v>
      </c>
      <c r="AU13" s="66">
        <v>7</v>
      </c>
      <c r="AV13" s="66" t="s">
        <v>35</v>
      </c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</row>
    <row r="14" spans="1:61" s="15" customFormat="1" ht="25.5" customHeight="1" x14ac:dyDescent="0.25">
      <c r="A14" s="14"/>
      <c r="B14" s="27">
        <f t="shared" ref="B14:B45" si="7">IFERROR(IF(AG14="","",IF(DATE(YEAR(AG14),MONTH(AG14),DAY(AG14))=DATE(YEAR($AN$4),MONTH($AN$4)+1,DAY($AN$4)),"TOTAL",IF(AG14&gt;$AN$4,"",AG14))),"")</f>
        <v>45323</v>
      </c>
      <c r="C14" s="32" t="str">
        <f t="shared" si="1"/>
        <v>Feb</v>
      </c>
      <c r="D14" s="32">
        <f t="shared" ref="D14:D45" si="8">IF(D13&gt;=$AK$5,"",D13+1)</f>
        <v>2</v>
      </c>
      <c r="E14" s="37" t="str">
        <f t="shared" si="2"/>
        <v>Feb-2024</v>
      </c>
      <c r="F14" s="29">
        <f>IF(E14="","",IF(C14="Jul",MROUND(S5*1.03,100),IF(E14="TOTAL",SUM($F$13:F13),$S$5)))</f>
        <v>90000</v>
      </c>
      <c r="G14" s="29">
        <f>IF(E14="","",IF(E14="TOTAL",SUM($G$13:G13),ROUND(F14*AI14/100,0)))</f>
        <v>45000</v>
      </c>
      <c r="H14" s="38">
        <f>IF(E14="","",IF(E14="TOTAL",SUM($H$13:H13),ROUND(F14*AJ14/100,0)))</f>
        <v>8100</v>
      </c>
      <c r="I14" s="38">
        <f>IF(E14="","",IF(E14="TOTAL",SUM($I$13:I13),0))</f>
        <v>0</v>
      </c>
      <c r="J14" s="35">
        <f t="shared" ref="J14:J73" si="9">IF(E14="","",SUM(F14:I14))</f>
        <v>143100</v>
      </c>
      <c r="K14" s="38">
        <f>IF(E14="","",IF(C14="Jul",MROUND(S4*1.03,100),IF(E14="TOTAL",SUM($K$13:K13),$S$4)))</f>
        <v>80000</v>
      </c>
      <c r="L14" s="38">
        <f>IF(E14="","",IF(E14="TOTAL",SUM($L$13:L13),ROUND(K14*AI14/100,0)))</f>
        <v>40000</v>
      </c>
      <c r="M14" s="38">
        <f>IF(E14="","",IF(E14="TOTAL",SUM($M$13:M13),ROUND(K14*AJ14/100,0)))</f>
        <v>7200</v>
      </c>
      <c r="N14" s="38">
        <f>IF(E14="","",IF(E14="TOTAL",SUM($N$13:N13),0))</f>
        <v>0</v>
      </c>
      <c r="O14" s="35">
        <f>IF(E14="","",SUM(K14:N14))</f>
        <v>127200</v>
      </c>
      <c r="P14" s="29">
        <f t="shared" si="3"/>
        <v>10000</v>
      </c>
      <c r="Q14" s="29">
        <f t="shared" si="4"/>
        <v>5000</v>
      </c>
      <c r="R14" s="29">
        <f t="shared" si="5"/>
        <v>900</v>
      </c>
      <c r="S14" s="29">
        <f t="shared" ref="S14:S75" si="10">IF(E14="","",I14-N14)</f>
        <v>0</v>
      </c>
      <c r="T14" s="35">
        <f t="shared" ref="T14:T73" si="11">IF(E14="","",SUM(P14:S14))</f>
        <v>15900</v>
      </c>
      <c r="U14" s="39">
        <f>IF(E14="","",IF(E14="TOTAL",SUM($U$13:U13),ROUND(F14*AK14,0)))</f>
        <v>3600</v>
      </c>
      <c r="V14" s="39">
        <f>IF(E14="","",IF(E14="TOTAL",SUM($V$13:V13),ROUND(K14*AK14,0)))</f>
        <v>3200</v>
      </c>
      <c r="W14" s="30">
        <f t="shared" ref="W14" si="12">IF(E14="","",U14-V14)</f>
        <v>400</v>
      </c>
      <c r="X14" s="87">
        <f>IF(E14="","",IF(E14="TOTAL",SUM($X$13:X13),IF(F14&lt;18001,265,IF(F14&lt;33501,440,IF(F14&lt;54001,658,875)))))</f>
        <v>875</v>
      </c>
      <c r="Y14" s="87">
        <f>IF(E14="","",IF(E14="TOTAL",SUM($Y$13:Y13),IF(K14&lt;18001,265,IF(K14&lt;33501,440,IF(K14&lt;54001,658,875)))))</f>
        <v>875</v>
      </c>
      <c r="Z14" s="31">
        <f>IF(E14="","",IF(E14="TOTAL",SUM($Z$13:Z13),X14-Y14))</f>
        <v>0</v>
      </c>
      <c r="AA14" s="39">
        <f>IF(E14="","",IF(E14="TOTAL",SUM($AA$13:AA13),0))</f>
        <v>0</v>
      </c>
      <c r="AB14" s="30">
        <f>IF(E14="","",IF(E14="TOTAL",SUM($AB$13:AB13),ROUND(T14*$Z$5,0)))</f>
        <v>3180</v>
      </c>
      <c r="AC14" s="35">
        <f>IF(E14="","",SUM(W14,Z14,AA14,AB14))</f>
        <v>3580</v>
      </c>
      <c r="AD14" s="36">
        <f t="shared" ref="AD14:AD66" si="13">IF(E14="","",T14-AC14)</f>
        <v>12320</v>
      </c>
      <c r="AE14" s="14"/>
      <c r="AF14" s="14"/>
      <c r="AG14" s="71">
        <f>IFERROR(DATE(YEAR(AG13),MONTH(AG13)+1,DAY(AG13)),"")</f>
        <v>45323</v>
      </c>
      <c r="AH14" s="71"/>
      <c r="AI14" s="72">
        <f>IF(OR(E14="",E14="TOTAL"),"",VLOOKUP(DATEVALUE(E14),AM14:$AR$66,2,0))</f>
        <v>50</v>
      </c>
      <c r="AJ14" s="72">
        <f>IF(OR(E14="",E14="TOTAL"),"",VLOOKUP(DATEVALUE(E14),AM14:$AR$66,3,0))</f>
        <v>9</v>
      </c>
      <c r="AK14" s="73">
        <f>IF(OR(E14="",E14="TOTAL"),"",VLOOKUP(DATEVALUE(E14),AM14:$AR$66,5,0))</f>
        <v>0.04</v>
      </c>
      <c r="AL14" s="71"/>
      <c r="AM14" s="74">
        <v>44228</v>
      </c>
      <c r="AN14" s="64">
        <v>17</v>
      </c>
      <c r="AO14" s="64">
        <f t="shared" ref="AO14:AO18" si="14">IF($Z$4=0%,0,IF($Z$4=10%,8,IF($Z$4=20%,16,"")))</f>
        <v>8</v>
      </c>
      <c r="AP14" s="64"/>
      <c r="AQ14" s="65"/>
      <c r="AR14" s="75"/>
      <c r="AS14" s="66"/>
      <c r="AT14" s="66" t="s">
        <v>24</v>
      </c>
      <c r="AU14" s="66">
        <v>8</v>
      </c>
      <c r="AV14" s="66" t="s">
        <v>36</v>
      </c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</row>
    <row r="15" spans="1:61" s="15" customFormat="1" ht="25.5" customHeight="1" x14ac:dyDescent="0.25">
      <c r="A15" s="14"/>
      <c r="B15" s="27">
        <f t="shared" si="7"/>
        <v>45352</v>
      </c>
      <c r="C15" s="32" t="str">
        <f t="shared" si="1"/>
        <v>Mar</v>
      </c>
      <c r="D15" s="32">
        <f t="shared" si="8"/>
        <v>3</v>
      </c>
      <c r="E15" s="37" t="str">
        <f t="shared" si="2"/>
        <v>Mar-2024</v>
      </c>
      <c r="F15" s="29">
        <f>IF(E15="","",IF(C15="Jul",MROUND(F14*1.03,100),IF(E15="TOTAL",SUM($F$13:F14),F14)))</f>
        <v>90000</v>
      </c>
      <c r="G15" s="29">
        <f>IF(E15="","",IF(E15="TOTAL",SUM($G$13:G14),ROUND(F15*AI15/100,0)))</f>
        <v>45000</v>
      </c>
      <c r="H15" s="38">
        <f>IF(E15="","",IF(E15="TOTAL",SUM($H$13:H14),ROUND(F15*AJ15/100,0)))</f>
        <v>8100</v>
      </c>
      <c r="I15" s="38">
        <f>IF(E15="","",IF(E15="TOTAL",SUM($I$13:I14),0))</f>
        <v>0</v>
      </c>
      <c r="J15" s="35">
        <f t="shared" si="9"/>
        <v>143100</v>
      </c>
      <c r="K15" s="38">
        <f>IF(E15="","",IF(C15="Jul",MROUND(K14*1.03,100),IF(E15="TOTAL",SUM($K$13:K14),K14)))</f>
        <v>80000</v>
      </c>
      <c r="L15" s="38">
        <f>IF(E15="","",IF(E15="TOTAL",SUM($L$13:L14),ROUND(K15*AI15/100,0)))</f>
        <v>40000</v>
      </c>
      <c r="M15" s="38">
        <f>IF(E15="","",IF(E15="TOTAL",SUM($M$13:M14),ROUND(K15*AJ15/100,0)))</f>
        <v>7200</v>
      </c>
      <c r="N15" s="38">
        <f>IF(E15="","",IF(E15="TOTAL",SUM($N$13:N14),0))</f>
        <v>0</v>
      </c>
      <c r="O15" s="35">
        <f t="shared" ref="O15:O73" si="15">IF(E15="","",SUM(K15:N15))</f>
        <v>127200</v>
      </c>
      <c r="P15" s="29">
        <f t="shared" si="3"/>
        <v>10000</v>
      </c>
      <c r="Q15" s="29">
        <f t="shared" si="4"/>
        <v>5000</v>
      </c>
      <c r="R15" s="29">
        <f t="shared" si="5"/>
        <v>900</v>
      </c>
      <c r="S15" s="29">
        <f t="shared" si="10"/>
        <v>0</v>
      </c>
      <c r="T15" s="35">
        <f t="shared" si="11"/>
        <v>15900</v>
      </c>
      <c r="U15" s="39">
        <f>IF(E15="","",IF(E15="TOTAL",SUM($U$13:U14),ROUND(F15*AK15,0)))</f>
        <v>0</v>
      </c>
      <c r="V15" s="39">
        <f>IF(E15="","",IF(E15="TOTAL",SUM($V$13:V14),ROUND(K15*AK15,0)))</f>
        <v>0</v>
      </c>
      <c r="W15" s="30">
        <f t="shared" ref="W15:W66" si="16">IF(E15="","",U15-V15)</f>
        <v>0</v>
      </c>
      <c r="X15" s="87">
        <f>IF(E15="","",IF(E15="TOTAL",SUM($X$13:X14),IF(F15&lt;18001,265,IF(F15&lt;33501,440,IF(F15&lt;54001,658,875)))))</f>
        <v>875</v>
      </c>
      <c r="Y15" s="87">
        <f>IF(E15="","",IF(E15="TOTAL",SUM($Y$13:Y14),IF(K15&lt;18001,265,IF(K15&lt;33501,440,IF(K15&lt;54001,658,875)))))</f>
        <v>875</v>
      </c>
      <c r="Z15" s="31">
        <f>IF(E15="","",IF(E15="TOTAL",SUM($Z$13:Z14),X15-Y15))</f>
        <v>0</v>
      </c>
      <c r="AA15" s="39">
        <f>IF(E15="","",IF(E15="TOTAL",SUM($AA$13:AA14),0))</f>
        <v>0</v>
      </c>
      <c r="AB15" s="30">
        <f>IF(E15="","",IF(E15="TOTAL",SUM($AB$13:AB14),ROUND(T15*$Z$5,0)))</f>
        <v>3180</v>
      </c>
      <c r="AC15" s="35">
        <f t="shared" ref="AC15:AC73" si="17">IF(E15="","",SUM(W15,Z15,AA15,AB15))</f>
        <v>3180</v>
      </c>
      <c r="AD15" s="36">
        <f t="shared" si="13"/>
        <v>12720</v>
      </c>
      <c r="AE15" s="14"/>
      <c r="AF15" s="14"/>
      <c r="AG15" s="71">
        <f t="shared" ref="AG15:AG46" si="18">IFERROR(DATE(YEAR(B14),MONTH(B14)+1,DAY(B14)),"")</f>
        <v>45352</v>
      </c>
      <c r="AH15" s="71"/>
      <c r="AI15" s="72">
        <f>IF(OR(E15="",E15="TOTAL"),"",VLOOKUP(DATEVALUE(E15),AM15:$AR$66,2,0))</f>
        <v>50</v>
      </c>
      <c r="AJ15" s="72">
        <f>IF(OR(E15="",E15="TOTAL"),"",VLOOKUP(DATEVALUE(E15),AM15:$AR$66,3,0))</f>
        <v>9</v>
      </c>
      <c r="AK15" s="73">
        <f>IF(OR(E15="",E15="TOTAL"),"",VLOOKUP(DATEVALUE(E15),AM15:$AR$66,5,0))</f>
        <v>0</v>
      </c>
      <c r="AL15" s="71"/>
      <c r="AM15" s="74">
        <v>44256</v>
      </c>
      <c r="AN15" s="64">
        <v>17</v>
      </c>
      <c r="AO15" s="64">
        <f t="shared" si="14"/>
        <v>8</v>
      </c>
      <c r="AP15" s="64"/>
      <c r="AQ15" s="65"/>
      <c r="AR15" s="75"/>
      <c r="AS15" s="66"/>
      <c r="AT15" s="66" t="s">
        <v>25</v>
      </c>
      <c r="AU15" s="66">
        <v>9</v>
      </c>
      <c r="AV15" s="66" t="s">
        <v>37</v>
      </c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</row>
    <row r="16" spans="1:61" s="15" customFormat="1" ht="25.5" customHeight="1" x14ac:dyDescent="0.25">
      <c r="A16" s="14"/>
      <c r="B16" s="27">
        <f t="shared" si="7"/>
        <v>45383</v>
      </c>
      <c r="C16" s="32" t="str">
        <f t="shared" si="1"/>
        <v>Apr</v>
      </c>
      <c r="D16" s="32">
        <f t="shared" si="8"/>
        <v>4</v>
      </c>
      <c r="E16" s="37" t="str">
        <f t="shared" si="2"/>
        <v>Apr-2024</v>
      </c>
      <c r="F16" s="29">
        <f>IF(E16="","",IF(C16="Jul",MROUND(F15*1.03,100),IF(E16="TOTAL",SUM($F$13:F15),F15)))</f>
        <v>90000</v>
      </c>
      <c r="G16" s="29">
        <f>IF(E16="","",IF(E16="TOTAL",SUM($G$13:G15),ROUND(F16*AI16/100,0)))</f>
        <v>45000</v>
      </c>
      <c r="H16" s="38">
        <f>IF(E16="","",IF(E16="TOTAL",SUM($H$13:H15),ROUND(F16*AJ16/100,0)))</f>
        <v>8100</v>
      </c>
      <c r="I16" s="38">
        <f>IF(E16="","",IF(E16="TOTAL",SUM($I$13:I15),0))</f>
        <v>0</v>
      </c>
      <c r="J16" s="35">
        <f t="shared" si="9"/>
        <v>143100</v>
      </c>
      <c r="K16" s="38">
        <f>IF(E16="","",IF(C16="Jul",MROUND(K15*1.03,100),IF(E16="TOTAL",SUM($K$13:K15),K15)))</f>
        <v>80000</v>
      </c>
      <c r="L16" s="38">
        <f>IF(E16="","",IF(E16="TOTAL",SUM($L$13:L15),ROUND(K16*AI16/100,0)))</f>
        <v>40000</v>
      </c>
      <c r="M16" s="38">
        <f>IF(E16="","",IF(E16="TOTAL",SUM($M$13:M15),ROUND(K16*AJ16/100,0)))</f>
        <v>7200</v>
      </c>
      <c r="N16" s="38">
        <f>IF(E16="","",IF(E16="TOTAL",SUM($N$13:N15),0))</f>
        <v>0</v>
      </c>
      <c r="O16" s="35">
        <f t="shared" si="15"/>
        <v>127200</v>
      </c>
      <c r="P16" s="29">
        <f t="shared" si="3"/>
        <v>10000</v>
      </c>
      <c r="Q16" s="29">
        <f t="shared" si="4"/>
        <v>5000</v>
      </c>
      <c r="R16" s="29">
        <f t="shared" si="5"/>
        <v>900</v>
      </c>
      <c r="S16" s="29">
        <f t="shared" si="10"/>
        <v>0</v>
      </c>
      <c r="T16" s="35">
        <f t="shared" si="11"/>
        <v>15900</v>
      </c>
      <c r="U16" s="39">
        <f>IF(E16="","",IF(E16="TOTAL",SUM($U$13:U15),ROUND(F16*AK16,0)))</f>
        <v>0</v>
      </c>
      <c r="V16" s="39">
        <f>IF(E16="","",IF(E16="TOTAL",SUM($V$13:V15),ROUND(K16*AK16,0)))</f>
        <v>0</v>
      </c>
      <c r="W16" s="30">
        <f t="shared" si="16"/>
        <v>0</v>
      </c>
      <c r="X16" s="87">
        <f>IF(E16="","",IF(E16="TOTAL",SUM($X$13:X15),IF(F16&lt;18001,265,IF(F16&lt;33501,440,IF(F16&lt;54001,658,875)))))</f>
        <v>875</v>
      </c>
      <c r="Y16" s="87">
        <f>IF(E16="","",IF(E16="TOTAL",SUM($Y$13:Y15),IF(K16&lt;18001,265,IF(K16&lt;33501,440,IF(K16&lt;54001,658,875)))))</f>
        <v>875</v>
      </c>
      <c r="Z16" s="31">
        <f>IF(E16="","",IF(E16="TOTAL",SUM($Z$13:Z15),X16-Y16))</f>
        <v>0</v>
      </c>
      <c r="AA16" s="39">
        <f>IF(E16="","",IF(E16="TOTAL",SUM($AA$13:AA15),0))</f>
        <v>0</v>
      </c>
      <c r="AB16" s="30">
        <f>IF(E16="","",IF(E16="TOTAL",SUM($AB$13:AB15),ROUND(T16*$Z$5,0)))</f>
        <v>3180</v>
      </c>
      <c r="AC16" s="35">
        <f t="shared" si="17"/>
        <v>3180</v>
      </c>
      <c r="AD16" s="36">
        <f t="shared" si="13"/>
        <v>12720</v>
      </c>
      <c r="AE16" s="14"/>
      <c r="AF16" s="14"/>
      <c r="AG16" s="71">
        <f t="shared" si="18"/>
        <v>45383</v>
      </c>
      <c r="AH16" s="71"/>
      <c r="AI16" s="72">
        <f>IF(OR(E16="",E16="TOTAL"),"",VLOOKUP(DATEVALUE(E16),AM16:$AR$66,2,0))</f>
        <v>50</v>
      </c>
      <c r="AJ16" s="72">
        <f>IF(OR(E16="",E16="TOTAL"),"",VLOOKUP(DATEVALUE(E16),AM16:$AR$66,3,0))</f>
        <v>9</v>
      </c>
      <c r="AK16" s="73">
        <f>IF(OR(E16="",E16="TOTAL"),"",VLOOKUP(DATEVALUE(E16),AM16:$AR$66,5,0))</f>
        <v>0</v>
      </c>
      <c r="AL16" s="71"/>
      <c r="AM16" s="74">
        <v>44287</v>
      </c>
      <c r="AN16" s="64">
        <v>17</v>
      </c>
      <c r="AO16" s="64">
        <f t="shared" si="14"/>
        <v>8</v>
      </c>
      <c r="AP16" s="64"/>
      <c r="AQ16" s="65"/>
      <c r="AR16" s="75"/>
      <c r="AS16" s="66"/>
      <c r="AT16" s="66" t="s">
        <v>26</v>
      </c>
      <c r="AU16" s="66">
        <v>10</v>
      </c>
      <c r="AV16" s="66" t="s">
        <v>38</v>
      </c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</row>
    <row r="17" spans="1:61" s="15" customFormat="1" ht="25.5" customHeight="1" x14ac:dyDescent="0.25">
      <c r="A17" s="14"/>
      <c r="B17" s="27">
        <f t="shared" si="7"/>
        <v>45413</v>
      </c>
      <c r="C17" s="32" t="str">
        <f t="shared" si="1"/>
        <v>May</v>
      </c>
      <c r="D17" s="32">
        <f t="shared" si="8"/>
        <v>5</v>
      </c>
      <c r="E17" s="37" t="str">
        <f t="shared" si="2"/>
        <v>May-2024</v>
      </c>
      <c r="F17" s="29">
        <f>IF(E17="","",IF(C17="Jul",MROUND(F16*1.03,100),IF(E17="TOTAL",SUM($F$13:F16),F16)))</f>
        <v>90000</v>
      </c>
      <c r="G17" s="29">
        <f>IF(E17="","",IF(E17="TOTAL",SUM($G$13:G16),ROUND(F17*AI17/100,0)))</f>
        <v>45000</v>
      </c>
      <c r="H17" s="38">
        <f>IF(E17="","",IF(E17="TOTAL",SUM($H$13:H16),ROUND(F17*AJ17/100,0)))</f>
        <v>8100</v>
      </c>
      <c r="I17" s="38">
        <f>IF(E17="","",IF(E17="TOTAL",SUM($I$13:I16),0))</f>
        <v>0</v>
      </c>
      <c r="J17" s="35">
        <f t="shared" si="9"/>
        <v>143100</v>
      </c>
      <c r="K17" s="38">
        <f>IF(E17="","",IF(C17="Jul",MROUND(K16*1.03,100),IF(E17="TOTAL",SUM($K$13:K16),K16)))</f>
        <v>80000</v>
      </c>
      <c r="L17" s="38">
        <f>IF(E17="","",IF(E17="TOTAL",SUM($L$13:L16),ROUND(K17*AI17/100,0)))</f>
        <v>40000</v>
      </c>
      <c r="M17" s="38">
        <f>IF(E17="","",IF(E17="TOTAL",SUM($M$13:M16),ROUND(K17*AJ17/100,0)))</f>
        <v>7200</v>
      </c>
      <c r="N17" s="38">
        <f>IF(E17="","",IF(E17="TOTAL",SUM($N$13:N16),0))</f>
        <v>0</v>
      </c>
      <c r="O17" s="35">
        <f t="shared" si="15"/>
        <v>127200</v>
      </c>
      <c r="P17" s="29">
        <f t="shared" si="3"/>
        <v>10000</v>
      </c>
      <c r="Q17" s="29">
        <f t="shared" si="4"/>
        <v>5000</v>
      </c>
      <c r="R17" s="29">
        <f t="shared" si="5"/>
        <v>900</v>
      </c>
      <c r="S17" s="29">
        <f t="shared" si="10"/>
        <v>0</v>
      </c>
      <c r="T17" s="35">
        <f t="shared" si="11"/>
        <v>15900</v>
      </c>
      <c r="U17" s="39">
        <f>IF(E17="","",IF(E17="TOTAL",SUM($U$13:U16),ROUND(F17*AK17,0)))</f>
        <v>0</v>
      </c>
      <c r="V17" s="39">
        <f>IF(E17="","",IF(E17="TOTAL",SUM($V$13:V16),ROUND(K17*AK17,0)))</f>
        <v>0</v>
      </c>
      <c r="W17" s="30">
        <f t="shared" si="16"/>
        <v>0</v>
      </c>
      <c r="X17" s="87">
        <f>IF(E17="","",IF(E17="TOTAL",SUM($X$13:X16),IF(F17&lt;18001,265,IF(F17&lt;33501,440,IF(F17&lt;54001,658,875)))))</f>
        <v>875</v>
      </c>
      <c r="Y17" s="87">
        <f>IF(E17="","",IF(E17="TOTAL",SUM($Y$13:Y16),IF(K17&lt;18001,265,IF(K17&lt;33501,440,IF(K17&lt;54001,658,875)))))</f>
        <v>875</v>
      </c>
      <c r="Z17" s="31">
        <f>IF(E17="","",IF(E17="TOTAL",SUM($Z$13:Z16),X17-Y17))</f>
        <v>0</v>
      </c>
      <c r="AA17" s="39">
        <f>IF(E17="","",IF(E17="TOTAL",SUM($AA$13:AA16),0))</f>
        <v>0</v>
      </c>
      <c r="AB17" s="30">
        <f>IF(E17="","",IF(E17="TOTAL",SUM($AB$13:AB16),ROUND(T17*$Z$5,0)))</f>
        <v>3180</v>
      </c>
      <c r="AC17" s="35">
        <f t="shared" si="17"/>
        <v>3180</v>
      </c>
      <c r="AD17" s="36">
        <f t="shared" si="13"/>
        <v>12720</v>
      </c>
      <c r="AE17" s="14"/>
      <c r="AF17" s="14"/>
      <c r="AG17" s="71">
        <f t="shared" si="18"/>
        <v>45413</v>
      </c>
      <c r="AH17" s="71"/>
      <c r="AI17" s="72">
        <f>IF(OR(E17="",E17="TOTAL"),"",VLOOKUP(DATEVALUE(E17),AM17:$AR$66,2,0))</f>
        <v>50</v>
      </c>
      <c r="AJ17" s="72">
        <f>IF(OR(E17="",E17="TOTAL"),"",VLOOKUP(DATEVALUE(E17),AM17:$AR$66,3,0))</f>
        <v>9</v>
      </c>
      <c r="AK17" s="73">
        <f>IF(OR(E17="",E17="TOTAL"),"",VLOOKUP(DATEVALUE(E17),AM17:$AR$66,5,0))</f>
        <v>0</v>
      </c>
      <c r="AL17" s="71"/>
      <c r="AM17" s="74">
        <v>44317</v>
      </c>
      <c r="AN17" s="64">
        <v>17</v>
      </c>
      <c r="AO17" s="64">
        <f t="shared" si="14"/>
        <v>8</v>
      </c>
      <c r="AP17" s="64"/>
      <c r="AQ17" s="65"/>
      <c r="AR17" s="75"/>
      <c r="AS17" s="66"/>
      <c r="AT17" s="66" t="s">
        <v>27</v>
      </c>
      <c r="AU17" s="66">
        <v>11</v>
      </c>
      <c r="AV17" s="66" t="s">
        <v>39</v>
      </c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</row>
    <row r="18" spans="1:61" s="15" customFormat="1" ht="25.5" customHeight="1" x14ac:dyDescent="0.25">
      <c r="A18" s="14"/>
      <c r="B18" s="27">
        <f t="shared" si="7"/>
        <v>45444</v>
      </c>
      <c r="C18" s="32" t="str">
        <f t="shared" si="1"/>
        <v>Jun</v>
      </c>
      <c r="D18" s="32">
        <f t="shared" si="8"/>
        <v>6</v>
      </c>
      <c r="E18" s="37" t="str">
        <f t="shared" si="2"/>
        <v>Jun-2024</v>
      </c>
      <c r="F18" s="29">
        <f>IF(E18="","",IF(C18="Jul",MROUND(F17*1.03,100),IF(E18="TOTAL",SUM($F$13:F17),F17)))</f>
        <v>90000</v>
      </c>
      <c r="G18" s="29">
        <f>IF(E18="","",IF(E18="TOTAL",SUM($G$13:G17),ROUND(F18*AI18/100,0)))</f>
        <v>45000</v>
      </c>
      <c r="H18" s="38">
        <f>IF(E18="","",IF(E18="TOTAL",SUM($H$13:H17),ROUND(F18*AJ18/100,0)))</f>
        <v>8100</v>
      </c>
      <c r="I18" s="38">
        <f>IF(E18="","",IF(E18="TOTAL",SUM($I$13:I17),0))</f>
        <v>0</v>
      </c>
      <c r="J18" s="35">
        <f t="shared" si="9"/>
        <v>143100</v>
      </c>
      <c r="K18" s="38">
        <f>IF(E18="","",IF(C18="Jul",MROUND(K17*1.03,100),IF(E18="TOTAL",SUM($K$13:K17),K17)))</f>
        <v>80000</v>
      </c>
      <c r="L18" s="38">
        <f>IF(E18="","",IF(E18="TOTAL",SUM($L$13:L17),ROUND(K18*AI18/100,0)))</f>
        <v>40000</v>
      </c>
      <c r="M18" s="38">
        <f>IF(E18="","",IF(E18="TOTAL",SUM($M$13:M17),ROUND(K18*AJ18/100,0)))</f>
        <v>7200</v>
      </c>
      <c r="N18" s="38">
        <f>IF(E18="","",IF(E18="TOTAL",SUM($N$13:N17),0))</f>
        <v>0</v>
      </c>
      <c r="O18" s="35">
        <f t="shared" si="15"/>
        <v>127200</v>
      </c>
      <c r="P18" s="29">
        <f t="shared" si="3"/>
        <v>10000</v>
      </c>
      <c r="Q18" s="29">
        <f t="shared" si="4"/>
        <v>5000</v>
      </c>
      <c r="R18" s="29">
        <f t="shared" si="5"/>
        <v>900</v>
      </c>
      <c r="S18" s="29">
        <f t="shared" si="10"/>
        <v>0</v>
      </c>
      <c r="T18" s="35">
        <f t="shared" si="11"/>
        <v>15900</v>
      </c>
      <c r="U18" s="39">
        <f>IF(E18="","",IF(E18="TOTAL",SUM($U$13:U17),ROUND(F18*AK18,0)))</f>
        <v>0</v>
      </c>
      <c r="V18" s="39">
        <f>IF(E18="","",IF(E18="TOTAL",SUM($V$13:V17),ROUND(K18*AK18,0)))</f>
        <v>0</v>
      </c>
      <c r="W18" s="30">
        <f t="shared" si="16"/>
        <v>0</v>
      </c>
      <c r="X18" s="87">
        <f>IF(E18="","",IF(E18="TOTAL",SUM($X$13:X17),IF(F18&lt;18001,265,IF(F18&lt;33501,440,IF(F18&lt;54001,658,875)))))</f>
        <v>875</v>
      </c>
      <c r="Y18" s="87">
        <f>IF(E18="","",IF(E18="TOTAL",SUM($Y$13:Y17),IF(K18&lt;18001,265,IF(K18&lt;33501,440,IF(K18&lt;54001,658,875)))))</f>
        <v>875</v>
      </c>
      <c r="Z18" s="31">
        <f>IF(E18="","",IF(E18="TOTAL",SUM($Z$13:Z17),X18-Y18))</f>
        <v>0</v>
      </c>
      <c r="AA18" s="39">
        <f>IF(E18="","",IF(E18="TOTAL",SUM($AA$13:AA17),0))</f>
        <v>0</v>
      </c>
      <c r="AB18" s="30">
        <f>IF(E18="","",IF(E18="TOTAL",SUM($AB$13:AB17),ROUND(T18*$Z$5,0)))</f>
        <v>3180</v>
      </c>
      <c r="AC18" s="35">
        <f t="shared" si="17"/>
        <v>3180</v>
      </c>
      <c r="AD18" s="36">
        <f t="shared" si="13"/>
        <v>12720</v>
      </c>
      <c r="AE18" s="14"/>
      <c r="AF18" s="14"/>
      <c r="AG18" s="71">
        <f t="shared" si="18"/>
        <v>45444</v>
      </c>
      <c r="AH18" s="71"/>
      <c r="AI18" s="72">
        <f>IF(OR(E18="",E18="TOTAL"),"",VLOOKUP(DATEVALUE(E18),AM18:$AR$66,2,0))</f>
        <v>50</v>
      </c>
      <c r="AJ18" s="72">
        <f>IF(OR(E18="",E18="TOTAL"),"",VLOOKUP(DATEVALUE(E18),AM18:$AR$66,3,0))</f>
        <v>9</v>
      </c>
      <c r="AK18" s="73">
        <f>IF(OR(E18="",E18="TOTAL"),"",VLOOKUP(DATEVALUE(E18),AM18:$AR$66,5,0))</f>
        <v>0</v>
      </c>
      <c r="AL18" s="71"/>
      <c r="AM18" s="74">
        <v>44348</v>
      </c>
      <c r="AN18" s="64">
        <v>17</v>
      </c>
      <c r="AO18" s="64">
        <f t="shared" si="14"/>
        <v>8</v>
      </c>
      <c r="AP18" s="64"/>
      <c r="AQ18" s="65"/>
      <c r="AR18" s="75"/>
      <c r="AS18" s="66"/>
      <c r="AT18" s="66" t="s">
        <v>28</v>
      </c>
      <c r="AU18" s="66">
        <v>12</v>
      </c>
      <c r="AV18" s="66" t="s">
        <v>40</v>
      </c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</row>
    <row r="19" spans="1:61" s="15" customFormat="1" ht="25.5" customHeight="1" x14ac:dyDescent="0.25">
      <c r="A19" s="14"/>
      <c r="B19" s="27" t="str">
        <f t="shared" si="7"/>
        <v>TOTAL</v>
      </c>
      <c r="C19" s="32" t="str">
        <f t="shared" si="1"/>
        <v>TOTAL</v>
      </c>
      <c r="D19" s="32">
        <f t="shared" si="8"/>
        <v>7</v>
      </c>
      <c r="E19" s="37" t="str">
        <f t="shared" si="2"/>
        <v>TOTAL</v>
      </c>
      <c r="F19" s="29">
        <f>IF(E19="","",IF(C19="Jul",MROUND(F18*1.03,100),IF(E19="TOTAL",SUM($F$13:F18),F18)))</f>
        <v>540000</v>
      </c>
      <c r="G19" s="29">
        <f>IF(E19="","",IF(E19="TOTAL",SUM($G$13:G18),ROUND(F19*AI19/100,0)))</f>
        <v>270000</v>
      </c>
      <c r="H19" s="38">
        <f>IF(E19="","",IF(E19="TOTAL",SUM($H$13:H18),ROUND(F19*AJ19/100,0)))</f>
        <v>48600</v>
      </c>
      <c r="I19" s="38">
        <f>IF(E19="","",IF(E19="TOTAL",SUM($I$13:I18),0))</f>
        <v>0</v>
      </c>
      <c r="J19" s="35">
        <f t="shared" si="9"/>
        <v>858600</v>
      </c>
      <c r="K19" s="38">
        <f>IF(E19="","",IF(C19="Jul",MROUND(K18*1.03,100),IF(E19="TOTAL",SUM($K$13:K18),K18)))</f>
        <v>480000</v>
      </c>
      <c r="L19" s="38">
        <f>IF(E19="","",IF(E19="TOTAL",SUM($L$13:L18),ROUND(K19*AI19/100,0)))</f>
        <v>240000</v>
      </c>
      <c r="M19" s="38">
        <f>IF(E19="","",IF(E19="TOTAL",SUM($M$13:M18),ROUND(K19*AJ19/100,0)))</f>
        <v>43200</v>
      </c>
      <c r="N19" s="38">
        <f>IF(E19="","",IF(E19="TOTAL",SUM($N$13:N18),0))</f>
        <v>0</v>
      </c>
      <c r="O19" s="35">
        <f t="shared" si="15"/>
        <v>763200</v>
      </c>
      <c r="P19" s="29">
        <f t="shared" si="3"/>
        <v>60000</v>
      </c>
      <c r="Q19" s="29">
        <f t="shared" si="4"/>
        <v>30000</v>
      </c>
      <c r="R19" s="29">
        <f t="shared" si="5"/>
        <v>5400</v>
      </c>
      <c r="S19" s="29">
        <f t="shared" si="10"/>
        <v>0</v>
      </c>
      <c r="T19" s="35">
        <f t="shared" si="11"/>
        <v>95400</v>
      </c>
      <c r="U19" s="39">
        <f>IF(E19="","",IF(E19="TOTAL",SUM($U$13:U18),ROUND(F19*AK19,0)))</f>
        <v>7200</v>
      </c>
      <c r="V19" s="39">
        <f>IF(E19="","",IF(E19="TOTAL",SUM($V$13:V18),ROUND(K19*AK19,0)))</f>
        <v>6400</v>
      </c>
      <c r="W19" s="30">
        <f t="shared" si="16"/>
        <v>800</v>
      </c>
      <c r="X19" s="87">
        <f>IF(E19="","",IF(E19="TOTAL",SUM($X$13:X18),IF(F19&lt;18001,265,IF(F19&lt;33501,440,IF(F19&lt;54001,658,875)))))</f>
        <v>5250</v>
      </c>
      <c r="Y19" s="87">
        <f>IF(E19="","",IF(E19="TOTAL",SUM($Y$13:Y18),IF(K19&lt;18001,265,IF(K19&lt;33501,440,IF(K19&lt;54001,658,875)))))</f>
        <v>5250</v>
      </c>
      <c r="Z19" s="31">
        <f>IF(E19="","",IF(E19="TOTAL",SUM($Z$13:Z18),X19-Y19))</f>
        <v>0</v>
      </c>
      <c r="AA19" s="39">
        <f>IF(E19="","",IF(E19="TOTAL",SUM($AA$13:AA18),0))</f>
        <v>0</v>
      </c>
      <c r="AB19" s="30">
        <f>IF(E19="","",IF(E19="TOTAL",SUM($AB$13:AB18),ROUND(T19*$Z$5,0)))</f>
        <v>19080</v>
      </c>
      <c r="AC19" s="35">
        <f t="shared" si="17"/>
        <v>19880</v>
      </c>
      <c r="AD19" s="36">
        <f t="shared" si="13"/>
        <v>75520</v>
      </c>
      <c r="AE19" s="14"/>
      <c r="AF19" s="14"/>
      <c r="AG19" s="71">
        <f t="shared" si="18"/>
        <v>45474</v>
      </c>
      <c r="AH19" s="71"/>
      <c r="AI19" s="72" t="str">
        <f>IF(OR(E19="",E19="TOTAL"),"",VLOOKUP(DATEVALUE(E19),AM19:$AR$66,2,0))</f>
        <v/>
      </c>
      <c r="AJ19" s="72" t="str">
        <f>IF(OR(E19="",E19="TOTAL"),"",VLOOKUP(DATEVALUE(E19),AM19:$AR$66,3,0))</f>
        <v/>
      </c>
      <c r="AK19" s="73" t="str">
        <f>IF(OR(E19="",E19="TOTAL"),"",VLOOKUP(DATEVALUE(E19),AM19:$AR$66,5,0))</f>
        <v/>
      </c>
      <c r="AL19" s="71"/>
      <c r="AM19" s="74">
        <v>44378</v>
      </c>
      <c r="AN19" s="64">
        <v>31</v>
      </c>
      <c r="AO19" s="64">
        <f>IF($Z$4=0%,0,IF($Z$4=10%,9,IF($Z$4=20%,18,"")))</f>
        <v>9</v>
      </c>
      <c r="AP19" s="64"/>
      <c r="AQ19" s="65">
        <v>0.03</v>
      </c>
      <c r="AR19" s="75"/>
      <c r="AS19" s="66"/>
      <c r="AT19" s="76"/>
      <c r="AU19" s="66">
        <v>13</v>
      </c>
      <c r="AV19" s="66" t="s">
        <v>41</v>
      </c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</row>
    <row r="20" spans="1:61" s="15" customFormat="1" ht="25.5" customHeight="1" x14ac:dyDescent="0.25">
      <c r="A20" s="14"/>
      <c r="B20" s="27" t="str">
        <f t="shared" si="7"/>
        <v/>
      </c>
      <c r="C20" s="32" t="str">
        <f t="shared" si="1"/>
        <v/>
      </c>
      <c r="D20" s="32" t="str">
        <f t="shared" si="8"/>
        <v/>
      </c>
      <c r="E20" s="37" t="str">
        <f t="shared" si="2"/>
        <v/>
      </c>
      <c r="F20" s="29" t="str">
        <f>IF(E20="","",IF(C20="Jul",MROUND(F19*1.03,100),IF(E20="TOTAL",SUM($F$13:F19),F19)))</f>
        <v/>
      </c>
      <c r="G20" s="29" t="str">
        <f>IF(E20="","",IF(E20="TOTAL",SUM($G$13:G19),ROUND(F20*AI20/100,0)))</f>
        <v/>
      </c>
      <c r="H20" s="38" t="str">
        <f>IF(E20="","",IF(E20="TOTAL",SUM($H$13:H19),ROUND(F20*AJ20/100,0)))</f>
        <v/>
      </c>
      <c r="I20" s="38" t="str">
        <f>IF(E20="","",IF(E20="TOTAL",SUM($I$13:I19),0))</f>
        <v/>
      </c>
      <c r="J20" s="35" t="str">
        <f t="shared" si="9"/>
        <v/>
      </c>
      <c r="K20" s="38" t="str">
        <f>IF(E20="","",IF(C20="Jul",MROUND(K19*1.03,100),IF(E20="TOTAL",SUM($K$13:K19),K19)))</f>
        <v/>
      </c>
      <c r="L20" s="38" t="str">
        <f>IF(E20="","",IF(E20="TOTAL",SUM($L$13:L19),ROUND(K20*AI20/100,0)))</f>
        <v/>
      </c>
      <c r="M20" s="38" t="str">
        <f>IF(E20="","",IF(E20="TOTAL",SUM($M$13:M19),ROUND(K20*AJ20/100,0)))</f>
        <v/>
      </c>
      <c r="N20" s="38" t="str">
        <f>IF(E20="","",IF(E20="TOTAL",SUM($N$13:N19),0))</f>
        <v/>
      </c>
      <c r="O20" s="35" t="str">
        <f t="shared" si="15"/>
        <v/>
      </c>
      <c r="P20" s="29" t="str">
        <f t="shared" si="3"/>
        <v/>
      </c>
      <c r="Q20" s="29" t="str">
        <f t="shared" si="4"/>
        <v/>
      </c>
      <c r="R20" s="29" t="str">
        <f t="shared" si="5"/>
        <v/>
      </c>
      <c r="S20" s="29" t="str">
        <f t="shared" si="10"/>
        <v/>
      </c>
      <c r="T20" s="35" t="str">
        <f t="shared" si="11"/>
        <v/>
      </c>
      <c r="U20" s="39" t="str">
        <f>IF(E20="","",IF(E20="TOTAL",SUM($U$13:U19),ROUND(F20*AK20,0)))</f>
        <v/>
      </c>
      <c r="V20" s="39" t="str">
        <f>IF(E20="","",IF(E20="TOTAL",SUM($V$13:V19),ROUND(K20*AK20,0)))</f>
        <v/>
      </c>
      <c r="W20" s="30" t="str">
        <f t="shared" si="16"/>
        <v/>
      </c>
      <c r="X20" s="87" t="str">
        <f>IF(E20="","",IF(E20="TOTAL",SUM($X$13:X19),IF(F20&lt;18001,265,IF(F20&lt;33501,440,IF(F20&lt;54001,658,875)))))</f>
        <v/>
      </c>
      <c r="Y20" s="87" t="str">
        <f>IF(E20="","",IF(E20="TOTAL",SUM($Y$13:Y19),IF(K20&lt;18001,265,IF(K20&lt;33501,440,IF(K20&lt;54001,658,875)))))</f>
        <v/>
      </c>
      <c r="Z20" s="31" t="str">
        <f>IF(E20="","",IF(E20="TOTAL",SUM($Z$13:Z19),X20-Y20))</f>
        <v/>
      </c>
      <c r="AA20" s="39" t="str">
        <f>IF(E20="","",IF(E20="TOTAL",SUM($AA$13:AA19),0))</f>
        <v/>
      </c>
      <c r="AB20" s="30" t="str">
        <f>IF(E20="","",IF(E20="TOTAL",SUM($AB$13:AB19),ROUND(T20*$Z$5,0)))</f>
        <v/>
      </c>
      <c r="AC20" s="35" t="str">
        <f t="shared" si="17"/>
        <v/>
      </c>
      <c r="AD20" s="36" t="str">
        <f t="shared" si="13"/>
        <v/>
      </c>
      <c r="AE20" s="14"/>
      <c r="AF20" s="14"/>
      <c r="AG20" s="71" t="str">
        <f t="shared" si="18"/>
        <v/>
      </c>
      <c r="AH20" s="71"/>
      <c r="AI20" s="72" t="str">
        <f>IF(OR(E20="",E20="TOTAL"),"",VLOOKUP(DATEVALUE(E20),AM20:$AR$66,2,0))</f>
        <v/>
      </c>
      <c r="AJ20" s="72" t="str">
        <f>IF(OR(E20="",E20="TOTAL"),"",VLOOKUP(DATEVALUE(E20),AM20:$AR$66,3,0))</f>
        <v/>
      </c>
      <c r="AK20" s="73" t="str">
        <f>IF(OR(E20="",E20="TOTAL"),"",VLOOKUP(DATEVALUE(E20),AM20:$AR$66,5,0))</f>
        <v/>
      </c>
      <c r="AL20" s="71"/>
      <c r="AM20" s="74">
        <v>44409</v>
      </c>
      <c r="AN20" s="64">
        <v>31</v>
      </c>
      <c r="AO20" s="64">
        <f t="shared" ref="AO20:AO58" si="19">IF($Z$4=0%,0,IF($Z$4=10%,9,IF($Z$4=20%,18,"")))</f>
        <v>9</v>
      </c>
      <c r="AP20" s="64"/>
      <c r="AQ20" s="65">
        <v>0.03</v>
      </c>
      <c r="AR20" s="75"/>
      <c r="AS20" s="66"/>
      <c r="AT20" s="76"/>
      <c r="AU20" s="66">
        <v>14</v>
      </c>
      <c r="AV20" s="66" t="s">
        <v>15</v>
      </c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</row>
    <row r="21" spans="1:61" s="15" customFormat="1" ht="25.5" customHeight="1" x14ac:dyDescent="0.25">
      <c r="A21" s="14"/>
      <c r="B21" s="27" t="str">
        <f t="shared" si="7"/>
        <v/>
      </c>
      <c r="C21" s="32" t="str">
        <f t="shared" si="1"/>
        <v/>
      </c>
      <c r="D21" s="32" t="str">
        <f t="shared" si="8"/>
        <v/>
      </c>
      <c r="E21" s="37" t="str">
        <f t="shared" si="2"/>
        <v/>
      </c>
      <c r="F21" s="29" t="str">
        <f>IF(E21="","",IF(C21="Jul",MROUND(F20*1.03,100),IF(E21="TOTAL",SUM($F$13:F20),F20)))</f>
        <v/>
      </c>
      <c r="G21" s="29" t="str">
        <f>IF(E21="","",IF(E21="TOTAL",SUM($G$13:G20),ROUND(F21*AI21/100,0)))</f>
        <v/>
      </c>
      <c r="H21" s="38" t="str">
        <f>IF(E21="","",IF(E21="TOTAL",SUM($H$13:H20),ROUND(F21*AJ21/100,0)))</f>
        <v/>
      </c>
      <c r="I21" s="38" t="str">
        <f>IF(E21="","",IF(E21="TOTAL",SUM($I$13:I20),0))</f>
        <v/>
      </c>
      <c r="J21" s="35" t="str">
        <f t="shared" si="9"/>
        <v/>
      </c>
      <c r="K21" s="38" t="str">
        <f>IF(E21="","",IF(C21="Jul",MROUND(K20*1.03,100),IF(E21="TOTAL",SUM($K$13:K20),K20)))</f>
        <v/>
      </c>
      <c r="L21" s="38" t="str">
        <f>IF(E21="","",IF(E21="TOTAL",SUM($L$13:L20),ROUND(K21*AI21/100,0)))</f>
        <v/>
      </c>
      <c r="M21" s="38" t="str">
        <f>IF(E21="","",IF(E21="TOTAL",SUM($M$13:M20),ROUND(K21*AJ21/100,0)))</f>
        <v/>
      </c>
      <c r="N21" s="38" t="str">
        <f>IF(E21="","",IF(E21="TOTAL",SUM($N$13:N20),0))</f>
        <v/>
      </c>
      <c r="O21" s="35" t="str">
        <f t="shared" si="15"/>
        <v/>
      </c>
      <c r="P21" s="29" t="str">
        <f t="shared" si="3"/>
        <v/>
      </c>
      <c r="Q21" s="29" t="str">
        <f t="shared" si="4"/>
        <v/>
      </c>
      <c r="R21" s="29" t="str">
        <f t="shared" si="5"/>
        <v/>
      </c>
      <c r="S21" s="29" t="str">
        <f t="shared" si="10"/>
        <v/>
      </c>
      <c r="T21" s="35" t="str">
        <f t="shared" si="11"/>
        <v/>
      </c>
      <c r="U21" s="39" t="str">
        <f>IF(E21="","",IF(E21="TOTAL",SUM($U$13:U20),ROUND(F21*AK21,0)))</f>
        <v/>
      </c>
      <c r="V21" s="39" t="str">
        <f>IF(E21="","",IF(E21="TOTAL",SUM($V$13:V20),ROUND(K21*AK21,0)))</f>
        <v/>
      </c>
      <c r="W21" s="30" t="str">
        <f t="shared" si="16"/>
        <v/>
      </c>
      <c r="X21" s="87" t="str">
        <f>IF(E21="","",IF(E21="TOTAL",SUM($X$13:X20),IF(F21&lt;18001,265,IF(F21&lt;33501,440,IF(F21&lt;54001,658,875)))))</f>
        <v/>
      </c>
      <c r="Y21" s="87" t="str">
        <f>IF(E21="","",IF(E21="TOTAL",SUM($Y$13:Y20),IF(K21&lt;18001,265,IF(K21&lt;33501,440,IF(K21&lt;54001,658,875)))))</f>
        <v/>
      </c>
      <c r="Z21" s="31" t="str">
        <f>IF(E21="","",IF(E21="TOTAL",SUM($Z$13:Z20),X21-Y21))</f>
        <v/>
      </c>
      <c r="AA21" s="39" t="str">
        <f>IF(E21="","",IF(E21="TOTAL",SUM($AA$13:AA20),0))</f>
        <v/>
      </c>
      <c r="AB21" s="30" t="str">
        <f>IF(E21="","",IF(E21="TOTAL",SUM($AB$13:AB20),ROUND(T21*$Z$5,0)))</f>
        <v/>
      </c>
      <c r="AC21" s="35" t="str">
        <f t="shared" si="17"/>
        <v/>
      </c>
      <c r="AD21" s="36" t="str">
        <f t="shared" si="13"/>
        <v/>
      </c>
      <c r="AE21" s="14"/>
      <c r="AF21" s="14"/>
      <c r="AG21" s="71" t="str">
        <f t="shared" si="18"/>
        <v/>
      </c>
      <c r="AH21" s="71"/>
      <c r="AI21" s="72" t="str">
        <f>IF(OR(E21="",E21="TOTAL"),"",VLOOKUP(DATEVALUE(E21),AM21:$AR$66,2,0))</f>
        <v/>
      </c>
      <c r="AJ21" s="72" t="str">
        <f>IF(OR(E21="",E21="TOTAL"),"",VLOOKUP(DATEVALUE(E21),AM21:$AR$66,3,0))</f>
        <v/>
      </c>
      <c r="AK21" s="73" t="str">
        <f>IF(OR(E21="",E21="TOTAL"),"",VLOOKUP(DATEVALUE(E21),AM21:$AR$66,5,0))</f>
        <v/>
      </c>
      <c r="AL21" s="71"/>
      <c r="AM21" s="74">
        <v>44440</v>
      </c>
      <c r="AN21" s="64">
        <v>31</v>
      </c>
      <c r="AO21" s="64">
        <f t="shared" si="19"/>
        <v>9</v>
      </c>
      <c r="AP21" s="64"/>
      <c r="AQ21" s="65">
        <v>0.03</v>
      </c>
      <c r="AR21" s="75"/>
      <c r="AS21" s="66"/>
      <c r="AT21" s="76"/>
      <c r="AU21" s="66">
        <v>15</v>
      </c>
      <c r="AV21" s="66" t="s">
        <v>42</v>
      </c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</row>
    <row r="22" spans="1:61" s="15" customFormat="1" ht="25.5" customHeight="1" x14ac:dyDescent="0.25">
      <c r="A22" s="14"/>
      <c r="B22" s="27" t="str">
        <f t="shared" si="7"/>
        <v/>
      </c>
      <c r="C22" s="32" t="str">
        <f t="shared" si="1"/>
        <v/>
      </c>
      <c r="D22" s="32" t="str">
        <f t="shared" si="8"/>
        <v/>
      </c>
      <c r="E22" s="37" t="str">
        <f t="shared" si="2"/>
        <v/>
      </c>
      <c r="F22" s="29" t="str">
        <f>IF(E22="","",IF(C22="Jul",MROUND(F21*1.03,100),IF(E22="TOTAL",SUM($F$13:F21),F21)))</f>
        <v/>
      </c>
      <c r="G22" s="29" t="str">
        <f>IF(E22="","",IF(E22="TOTAL",SUM($G$13:G21),ROUND(F22*AI22/100,0)))</f>
        <v/>
      </c>
      <c r="H22" s="38" t="str">
        <f>IF(E22="","",IF(E22="TOTAL",SUM($H$13:H21),ROUND(F22*AJ22/100,0)))</f>
        <v/>
      </c>
      <c r="I22" s="38" t="str">
        <f>IF(E22="","",IF(E22="TOTAL",SUM($I$13:I21),0))</f>
        <v/>
      </c>
      <c r="J22" s="35" t="str">
        <f t="shared" si="9"/>
        <v/>
      </c>
      <c r="K22" s="38" t="str">
        <f>IF(E22="","",IF(C22="Jul",MROUND(K21*1.03,100),IF(E22="TOTAL",SUM($K$13:K21),K21)))</f>
        <v/>
      </c>
      <c r="L22" s="38" t="str">
        <f>IF(E22="","",IF(E22="TOTAL",SUM($L$13:L21),ROUND(K22*AI22/100,0)))</f>
        <v/>
      </c>
      <c r="M22" s="38" t="str">
        <f>IF(E22="","",IF(E22="TOTAL",SUM($M$13:M21),ROUND(K22*AJ22/100,0)))</f>
        <v/>
      </c>
      <c r="N22" s="38" t="str">
        <f>IF(E22="","",IF(E22="TOTAL",SUM($N$13:N21),0))</f>
        <v/>
      </c>
      <c r="O22" s="35" t="str">
        <f t="shared" si="15"/>
        <v/>
      </c>
      <c r="P22" s="29" t="str">
        <f t="shared" si="3"/>
        <v/>
      </c>
      <c r="Q22" s="29" t="str">
        <f t="shared" si="4"/>
        <v/>
      </c>
      <c r="R22" s="29" t="str">
        <f t="shared" si="5"/>
        <v/>
      </c>
      <c r="S22" s="29" t="str">
        <f t="shared" si="10"/>
        <v/>
      </c>
      <c r="T22" s="35" t="str">
        <f t="shared" si="11"/>
        <v/>
      </c>
      <c r="U22" s="39" t="str">
        <f>IF(E22="","",IF(E22="TOTAL",SUM($U$13:U21),ROUND(F22*AK22,0)))</f>
        <v/>
      </c>
      <c r="V22" s="39" t="str">
        <f>IF(E22="","",IF(E22="TOTAL",SUM($V$13:V21),ROUND(K22*AK22,0)))</f>
        <v/>
      </c>
      <c r="W22" s="30" t="str">
        <f t="shared" si="16"/>
        <v/>
      </c>
      <c r="X22" s="87" t="str">
        <f>IF(E22="","",IF(E22="TOTAL",SUM($X$13:X21),IF(F22&lt;18001,265,IF(F22&lt;33501,440,IF(F22&lt;54001,658,875)))))</f>
        <v/>
      </c>
      <c r="Y22" s="87" t="str">
        <f>IF(E22="","",IF(E22="TOTAL",SUM($Y$13:Y21),IF(K22&lt;18001,265,IF(K22&lt;33501,440,IF(K22&lt;54001,658,875)))))</f>
        <v/>
      </c>
      <c r="Z22" s="31" t="str">
        <f>IF(E22="","",IF(E22="TOTAL",SUM($Z$13:Z21),X22-Y22))</f>
        <v/>
      </c>
      <c r="AA22" s="39" t="str">
        <f>IF(E22="","",IF(E22="TOTAL",SUM($AA$13:AA21),0))</f>
        <v/>
      </c>
      <c r="AB22" s="30" t="str">
        <f>IF(E22="","",IF(E22="TOTAL",SUM($AB$13:AB21),ROUND(T22*$Z$5,0)))</f>
        <v/>
      </c>
      <c r="AC22" s="35" t="str">
        <f t="shared" si="17"/>
        <v/>
      </c>
      <c r="AD22" s="36" t="str">
        <f t="shared" si="13"/>
        <v/>
      </c>
      <c r="AE22" s="14"/>
      <c r="AF22" s="14"/>
      <c r="AG22" s="71" t="str">
        <f t="shared" si="18"/>
        <v/>
      </c>
      <c r="AH22" s="71"/>
      <c r="AI22" s="72" t="str">
        <f>IF(OR(E22="",E22="TOTAL"),"",VLOOKUP(DATEVALUE(E22),AM22:$AR$66,2,0))</f>
        <v/>
      </c>
      <c r="AJ22" s="72" t="str">
        <f>IF(OR(E22="",E22="TOTAL"),"",VLOOKUP(DATEVALUE(E22),AM22:$AR$66,3,0))</f>
        <v/>
      </c>
      <c r="AK22" s="73" t="str">
        <f>IF(OR(E22="",E22="TOTAL"),"",VLOOKUP(DATEVALUE(E22),AM22:$AR$66,5,0))</f>
        <v/>
      </c>
      <c r="AL22" s="71"/>
      <c r="AM22" s="74">
        <v>44470</v>
      </c>
      <c r="AN22" s="64">
        <v>31</v>
      </c>
      <c r="AO22" s="64">
        <f t="shared" si="19"/>
        <v>9</v>
      </c>
      <c r="AP22" s="64"/>
      <c r="AQ22" s="65"/>
      <c r="AR22" s="75"/>
      <c r="AS22" s="66"/>
      <c r="AT22" s="76"/>
      <c r="AU22" s="66">
        <v>16</v>
      </c>
      <c r="AV22" s="66" t="s">
        <v>43</v>
      </c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</row>
    <row r="23" spans="1:61" s="15" customFormat="1" ht="25.5" customHeight="1" x14ac:dyDescent="0.25">
      <c r="A23" s="14"/>
      <c r="B23" s="27" t="str">
        <f t="shared" si="7"/>
        <v/>
      </c>
      <c r="C23" s="32" t="str">
        <f t="shared" si="1"/>
        <v/>
      </c>
      <c r="D23" s="32" t="str">
        <f t="shared" si="8"/>
        <v/>
      </c>
      <c r="E23" s="37" t="str">
        <f t="shared" si="2"/>
        <v/>
      </c>
      <c r="F23" s="29" t="str">
        <f>IF(E23="","",IF(C23="Jul",MROUND(F22*1.03,100),IF(E23="TOTAL",SUM($F$13:F22),F22)))</f>
        <v/>
      </c>
      <c r="G23" s="29" t="str">
        <f>IF(E23="","",IF(E23="TOTAL",SUM($G$13:G22),ROUND(F23*AI23/100,0)))</f>
        <v/>
      </c>
      <c r="H23" s="38" t="str">
        <f>IF(E23="","",IF(E23="TOTAL",SUM($H$13:H22),ROUND(F23*AJ23/100,0)))</f>
        <v/>
      </c>
      <c r="I23" s="38" t="str">
        <f>IF(E23="","",IF(E23="TOTAL",SUM($I$13:I22),0))</f>
        <v/>
      </c>
      <c r="J23" s="35" t="str">
        <f t="shared" si="9"/>
        <v/>
      </c>
      <c r="K23" s="38" t="str">
        <f>IF(E23="","",IF(C23="Jul",MROUND(K22*1.03,100),IF(E23="TOTAL",SUM($K$13:K22),K22)))</f>
        <v/>
      </c>
      <c r="L23" s="38" t="str">
        <f>IF(E23="","",IF(E23="TOTAL",SUM($L$13:L22),ROUND(K23*AI23/100,0)))</f>
        <v/>
      </c>
      <c r="M23" s="38" t="str">
        <f>IF(E23="","",IF(E23="TOTAL",SUM($M$13:M22),ROUND(K23*AJ23/100,0)))</f>
        <v/>
      </c>
      <c r="N23" s="38" t="str">
        <f>IF(E23="","",IF(E23="TOTAL",SUM($N$13:N22),0))</f>
        <v/>
      </c>
      <c r="O23" s="35" t="str">
        <f t="shared" si="15"/>
        <v/>
      </c>
      <c r="P23" s="29" t="str">
        <f t="shared" si="3"/>
        <v/>
      </c>
      <c r="Q23" s="29" t="str">
        <f t="shared" si="4"/>
        <v/>
      </c>
      <c r="R23" s="29" t="str">
        <f t="shared" si="5"/>
        <v/>
      </c>
      <c r="S23" s="29" t="str">
        <f t="shared" si="10"/>
        <v/>
      </c>
      <c r="T23" s="35" t="str">
        <f t="shared" si="11"/>
        <v/>
      </c>
      <c r="U23" s="39" t="str">
        <f>IF(E23="","",IF(E23="TOTAL",SUM($U$13:U22),ROUND(F23*AK23,0)))</f>
        <v/>
      </c>
      <c r="V23" s="39" t="str">
        <f>IF(E23="","",IF(E23="TOTAL",SUM($V$13:V22),ROUND(K23*AK23,0)))</f>
        <v/>
      </c>
      <c r="W23" s="30" t="str">
        <f t="shared" si="16"/>
        <v/>
      </c>
      <c r="X23" s="87" t="str">
        <f>IF(E23="","",IF(E23="TOTAL",SUM($X$13:X22),IF(F23&lt;18001,265,IF(F23&lt;33501,440,IF(F23&lt;54001,658,875)))))</f>
        <v/>
      </c>
      <c r="Y23" s="87" t="str">
        <f>IF(E23="","",IF(E23="TOTAL",SUM($Y$13:Y22),IF(K23&lt;18001,265,IF(K23&lt;33501,440,IF(K23&lt;54001,658,875)))))</f>
        <v/>
      </c>
      <c r="Z23" s="31" t="str">
        <f>IF(E23="","",IF(E23="TOTAL",SUM($Z$13:Z22),X23-Y23))</f>
        <v/>
      </c>
      <c r="AA23" s="39" t="str">
        <f>IF(E23="","",IF(E23="TOTAL",SUM($AA$13:AA22),0))</f>
        <v/>
      </c>
      <c r="AB23" s="30" t="str">
        <f>IF(E23="","",IF(E23="TOTAL",SUM($AB$13:AB22),ROUND(T23*$Z$5,0)))</f>
        <v/>
      </c>
      <c r="AC23" s="35" t="str">
        <f t="shared" si="17"/>
        <v/>
      </c>
      <c r="AD23" s="36" t="str">
        <f t="shared" si="13"/>
        <v/>
      </c>
      <c r="AE23" s="14"/>
      <c r="AF23" s="14"/>
      <c r="AG23" s="71" t="str">
        <f t="shared" si="18"/>
        <v/>
      </c>
      <c r="AH23" s="71"/>
      <c r="AI23" s="72" t="str">
        <f>IF(OR(E23="",E23="TOTAL"),"",VLOOKUP(DATEVALUE(E23),AM23:$AR$66,2,0))</f>
        <v/>
      </c>
      <c r="AJ23" s="72" t="str">
        <f>IF(OR(E23="",E23="TOTAL"),"",VLOOKUP(DATEVALUE(E23),AM23:$AR$66,3,0))</f>
        <v/>
      </c>
      <c r="AK23" s="73" t="str">
        <f>IF(OR(E23="",E23="TOTAL"),"",VLOOKUP(DATEVALUE(E23),AM23:$AR$66,5,0))</f>
        <v/>
      </c>
      <c r="AL23" s="71"/>
      <c r="AM23" s="74">
        <v>44501</v>
      </c>
      <c r="AN23" s="64">
        <v>31</v>
      </c>
      <c r="AO23" s="64">
        <f t="shared" si="19"/>
        <v>9</v>
      </c>
      <c r="AP23" s="64"/>
      <c r="AQ23" s="65"/>
      <c r="AR23" s="75"/>
      <c r="AS23" s="66"/>
      <c r="AT23" s="76"/>
      <c r="AU23" s="66">
        <v>17</v>
      </c>
      <c r="AV23" s="66" t="s">
        <v>44</v>
      </c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</row>
    <row r="24" spans="1:61" s="15" customFormat="1" ht="25.5" customHeight="1" x14ac:dyDescent="0.25">
      <c r="A24" s="14"/>
      <c r="B24" s="27" t="str">
        <f t="shared" si="7"/>
        <v/>
      </c>
      <c r="C24" s="32" t="str">
        <f t="shared" si="1"/>
        <v/>
      </c>
      <c r="D24" s="32" t="str">
        <f t="shared" si="8"/>
        <v/>
      </c>
      <c r="E24" s="37" t="str">
        <f t="shared" si="2"/>
        <v/>
      </c>
      <c r="F24" s="29" t="str">
        <f>IF(E24="","",IF(C24="Jul",MROUND(F23*1.03,100),IF(E24="TOTAL",SUM($F$13:F23),F23)))</f>
        <v/>
      </c>
      <c r="G24" s="29" t="str">
        <f>IF(E24="","",IF(E24="TOTAL",SUM($G$13:G23),ROUND(F24*AI24/100,0)))</f>
        <v/>
      </c>
      <c r="H24" s="38" t="str">
        <f>IF(E24="","",IF(E24="TOTAL",SUM($H$13:H23),ROUND(F24*AJ24/100,0)))</f>
        <v/>
      </c>
      <c r="I24" s="38" t="str">
        <f>IF(E24="","",IF(E24="TOTAL",SUM($I$13:I23),0))</f>
        <v/>
      </c>
      <c r="J24" s="35" t="str">
        <f t="shared" si="9"/>
        <v/>
      </c>
      <c r="K24" s="38" t="str">
        <f>IF(E24="","",IF(C24="Jul",MROUND(K23*1.03,100),IF(E24="TOTAL",SUM($K$13:K23),K23)))</f>
        <v/>
      </c>
      <c r="L24" s="38" t="str">
        <f>IF(E24="","",IF(E24="TOTAL",SUM($L$13:L23),ROUND(K24*AI24/100,0)))</f>
        <v/>
      </c>
      <c r="M24" s="38" t="str">
        <f>IF(E24="","",IF(E24="TOTAL",SUM($M$13:M23),ROUND(K24*AJ24/100,0)))</f>
        <v/>
      </c>
      <c r="N24" s="38" t="str">
        <f>IF(E24="","",IF(E24="TOTAL",SUM($N$13:N23),0))</f>
        <v/>
      </c>
      <c r="O24" s="35" t="str">
        <f t="shared" si="15"/>
        <v/>
      </c>
      <c r="P24" s="29" t="str">
        <f t="shared" si="3"/>
        <v/>
      </c>
      <c r="Q24" s="29" t="str">
        <f t="shared" si="4"/>
        <v/>
      </c>
      <c r="R24" s="29" t="str">
        <f t="shared" si="5"/>
        <v/>
      </c>
      <c r="S24" s="29" t="str">
        <f t="shared" si="10"/>
        <v/>
      </c>
      <c r="T24" s="35" t="str">
        <f t="shared" si="11"/>
        <v/>
      </c>
      <c r="U24" s="39" t="str">
        <f>IF(E24="","",IF(E24="TOTAL",SUM($U$13:U23),ROUND(F24*AK24,0)))</f>
        <v/>
      </c>
      <c r="V24" s="39" t="str">
        <f>IF(E24="","",IF(E24="TOTAL",SUM($V$13:V23),ROUND(K24*AK24,0)))</f>
        <v/>
      </c>
      <c r="W24" s="30" t="str">
        <f t="shared" si="16"/>
        <v/>
      </c>
      <c r="X24" s="87" t="str">
        <f>IF(E24="","",IF(E24="TOTAL",SUM($X$13:X23),IF(F24&lt;18001,265,IF(F24&lt;33501,440,IF(F24&lt;54001,658,875)))))</f>
        <v/>
      </c>
      <c r="Y24" s="87" t="str">
        <f>IF(E24="","",IF(E24="TOTAL",SUM($Y$13:Y23),IF(K24&lt;18001,265,IF(K24&lt;33501,440,IF(K24&lt;54001,658,875)))))</f>
        <v/>
      </c>
      <c r="Z24" s="31" t="str">
        <f>IF(E24="","",IF(E24="TOTAL",SUM($Z$13:Z23),X24-Y24))</f>
        <v/>
      </c>
      <c r="AA24" s="39" t="str">
        <f>IF(E24="","",IF(E24="TOTAL",SUM($AA$13:AA23),0))</f>
        <v/>
      </c>
      <c r="AB24" s="30" t="str">
        <f>IF(E24="","",IF(E24="TOTAL",SUM($AB$13:AB23),ROUND(T24*$Z$5,0)))</f>
        <v/>
      </c>
      <c r="AC24" s="35" t="str">
        <f t="shared" si="17"/>
        <v/>
      </c>
      <c r="AD24" s="36" t="str">
        <f t="shared" si="13"/>
        <v/>
      </c>
      <c r="AE24" s="14"/>
      <c r="AF24" s="14"/>
      <c r="AG24" s="71" t="str">
        <f t="shared" si="18"/>
        <v/>
      </c>
      <c r="AH24" s="71"/>
      <c r="AI24" s="72" t="str">
        <f>IF(OR(E24="",E24="TOTAL"),"",VLOOKUP(DATEVALUE(E24),AM24:$AR$66,2,0))</f>
        <v/>
      </c>
      <c r="AJ24" s="72" t="str">
        <f>IF(OR(E24="",E24="TOTAL"),"",VLOOKUP(DATEVALUE(E24),AM24:$AR$66,3,0))</f>
        <v/>
      </c>
      <c r="AK24" s="73" t="str">
        <f>IF(OR(E24="",E24="TOTAL"),"",VLOOKUP(DATEVALUE(E24),AM24:$AR$66,5,0))</f>
        <v/>
      </c>
      <c r="AL24" s="71"/>
      <c r="AM24" s="74">
        <v>44531</v>
      </c>
      <c r="AN24" s="64">
        <v>31</v>
      </c>
      <c r="AO24" s="64">
        <f t="shared" si="19"/>
        <v>9</v>
      </c>
      <c r="AP24" s="64"/>
      <c r="AQ24" s="65"/>
      <c r="AR24" s="75"/>
      <c r="AS24" s="66"/>
      <c r="AT24" s="76"/>
      <c r="AU24" s="66">
        <v>18</v>
      </c>
      <c r="AV24" s="66" t="s">
        <v>45</v>
      </c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</row>
    <row r="25" spans="1:61" s="15" customFormat="1" ht="25.5" customHeight="1" x14ac:dyDescent="0.25">
      <c r="A25" s="14"/>
      <c r="B25" s="27" t="str">
        <f t="shared" si="7"/>
        <v/>
      </c>
      <c r="C25" s="32" t="str">
        <f t="shared" si="1"/>
        <v/>
      </c>
      <c r="D25" s="32" t="str">
        <f t="shared" si="8"/>
        <v/>
      </c>
      <c r="E25" s="37" t="str">
        <f t="shared" si="2"/>
        <v/>
      </c>
      <c r="F25" s="29" t="str">
        <f>IF(E25="","",IF(C25="Jul",MROUND(F24*1.03,100),IF(E25="TOTAL",SUM($F$13:F24),F24)))</f>
        <v/>
      </c>
      <c r="G25" s="29" t="str">
        <f>IF(E25="","",IF(E25="TOTAL",SUM($G$13:G24),ROUND(F25*AI25/100,0)))</f>
        <v/>
      </c>
      <c r="H25" s="38" t="str">
        <f>IF(E25="","",IF(E25="TOTAL",SUM($H$13:H24),ROUND(F25*AJ25/100,0)))</f>
        <v/>
      </c>
      <c r="I25" s="38" t="str">
        <f>IF(E25="","",IF(E25="TOTAL",SUM($I$13:I24),0))</f>
        <v/>
      </c>
      <c r="J25" s="35" t="str">
        <f t="shared" si="9"/>
        <v/>
      </c>
      <c r="K25" s="38" t="str">
        <f>IF(E25="","",IF(C25="Jul",MROUND(K24*1.03,100),IF(E25="TOTAL",SUM($K$13:K24),K24)))</f>
        <v/>
      </c>
      <c r="L25" s="38" t="str">
        <f>IF(E25="","",IF(E25="TOTAL",SUM($L$13:L24),ROUND(K25*AI25/100,0)))</f>
        <v/>
      </c>
      <c r="M25" s="38" t="str">
        <f>IF(E25="","",IF(E25="TOTAL",SUM($M$13:M24),ROUND(K25*AJ25/100,0)))</f>
        <v/>
      </c>
      <c r="N25" s="38" t="str">
        <f>IF(E25="","",IF(E25="TOTAL",SUM($N$13:N24),0))</f>
        <v/>
      </c>
      <c r="O25" s="35" t="str">
        <f t="shared" si="15"/>
        <v/>
      </c>
      <c r="P25" s="29" t="str">
        <f t="shared" si="3"/>
        <v/>
      </c>
      <c r="Q25" s="29" t="str">
        <f t="shared" si="4"/>
        <v/>
      </c>
      <c r="R25" s="29" t="str">
        <f t="shared" si="5"/>
        <v/>
      </c>
      <c r="S25" s="29" t="str">
        <f t="shared" si="10"/>
        <v/>
      </c>
      <c r="T25" s="35" t="str">
        <f t="shared" si="11"/>
        <v/>
      </c>
      <c r="U25" s="39" t="str">
        <f>IF(E25="","",IF(E25="TOTAL",SUM($U$13:U24),ROUND(F25*AK25,0)))</f>
        <v/>
      </c>
      <c r="V25" s="39" t="str">
        <f>IF(E25="","",IF(E25="TOTAL",SUM($V$13:V24),ROUND(K25*AK25,0)))</f>
        <v/>
      </c>
      <c r="W25" s="30" t="str">
        <f t="shared" si="16"/>
        <v/>
      </c>
      <c r="X25" s="87" t="str">
        <f>IF(E25="","",IF(E25="TOTAL",SUM($X$13:X24),IF(F25&lt;18001,265,IF(F25&lt;33501,440,IF(F25&lt;54001,658,875)))))</f>
        <v/>
      </c>
      <c r="Y25" s="87" t="str">
        <f>IF(E25="","",IF(E25="TOTAL",SUM($Y$13:Y24),IF(K25&lt;18001,265,IF(K25&lt;33501,440,IF(K25&lt;54001,658,875)))))</f>
        <v/>
      </c>
      <c r="Z25" s="31" t="str">
        <f>IF(E25="","",IF(E25="TOTAL",SUM($Z$13:Z24),X25-Y25))</f>
        <v/>
      </c>
      <c r="AA25" s="39" t="str">
        <f>IF(E25="","",IF(E25="TOTAL",SUM($AA$13:AA24),0))</f>
        <v/>
      </c>
      <c r="AB25" s="30" t="str">
        <f>IF(E25="","",IF(E25="TOTAL",SUM($AB$13:AB24),ROUND(T25*$Z$5,0)))</f>
        <v/>
      </c>
      <c r="AC25" s="35" t="str">
        <f t="shared" si="17"/>
        <v/>
      </c>
      <c r="AD25" s="36" t="str">
        <f t="shared" si="13"/>
        <v/>
      </c>
      <c r="AE25" s="14"/>
      <c r="AF25" s="14"/>
      <c r="AG25" s="71" t="str">
        <f t="shared" si="18"/>
        <v/>
      </c>
      <c r="AH25" s="71"/>
      <c r="AI25" s="72" t="str">
        <f>IF(OR(E25="",E25="TOTAL"),"",VLOOKUP(DATEVALUE(E25),AM25:$AR$66,2,0))</f>
        <v/>
      </c>
      <c r="AJ25" s="72" t="str">
        <f>IF(OR(E25="",E25="TOTAL"),"",VLOOKUP(DATEVALUE(E25),AM25:$AR$66,3,0))</f>
        <v/>
      </c>
      <c r="AK25" s="73" t="str">
        <f>IF(OR(E25="",E25="TOTAL"),"",VLOOKUP(DATEVALUE(E25),AM25:$AR$66,5,0))</f>
        <v/>
      </c>
      <c r="AL25" s="71"/>
      <c r="AM25" s="74">
        <v>44562</v>
      </c>
      <c r="AN25" s="64">
        <v>34</v>
      </c>
      <c r="AO25" s="64">
        <f t="shared" si="19"/>
        <v>9</v>
      </c>
      <c r="AP25" s="64"/>
      <c r="AQ25" s="65">
        <v>0.03</v>
      </c>
      <c r="AR25" s="75"/>
      <c r="AS25" s="66"/>
      <c r="AT25" s="76"/>
      <c r="AU25" s="66">
        <v>19</v>
      </c>
      <c r="AV25" s="66" t="s">
        <v>46</v>
      </c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</row>
    <row r="26" spans="1:61" s="15" customFormat="1" ht="25.5" customHeight="1" x14ac:dyDescent="0.25">
      <c r="A26" s="14"/>
      <c r="B26" s="27" t="str">
        <f t="shared" si="7"/>
        <v/>
      </c>
      <c r="C26" s="32" t="str">
        <f t="shared" ref="C26:C66" si="20">TEXT(E26,"MMM")</f>
        <v/>
      </c>
      <c r="D26" s="32" t="str">
        <f t="shared" si="8"/>
        <v/>
      </c>
      <c r="E26" s="37" t="str">
        <f t="shared" ref="E26:E66" si="21">TEXT(B26,"MMM-YYYY")</f>
        <v/>
      </c>
      <c r="F26" s="29" t="str">
        <f>IF(E26="","",IF(C26="Jul",MROUND(F25*1.03,100),IF(E26="TOTAL",SUM($F$13:F25),F25)))</f>
        <v/>
      </c>
      <c r="G26" s="29" t="str">
        <f>IF(E26="","",IF(E26="TOTAL",SUM($G$13:G25),ROUND(F26*AI26/100,0)))</f>
        <v/>
      </c>
      <c r="H26" s="38" t="str">
        <f>IF(E26="","",IF(E26="TOTAL",SUM($H$13:H25),ROUND(F26*AJ26/100,0)))</f>
        <v/>
      </c>
      <c r="I26" s="38" t="str">
        <f>IF(E26="","",IF(E26="TOTAL",SUM($I$13:I25),0))</f>
        <v/>
      </c>
      <c r="J26" s="35" t="str">
        <f t="shared" si="9"/>
        <v/>
      </c>
      <c r="K26" s="38" t="str">
        <f>IF(E26="","",IF(C26="Jul",MROUND(K25*1.03,100),IF(E26="TOTAL",SUM($K$13:K25),K25)))</f>
        <v/>
      </c>
      <c r="L26" s="38" t="str">
        <f>IF(E26="","",IF(E26="TOTAL",SUM($L$13:L25),ROUND(K26*AI26/100,0)))</f>
        <v/>
      </c>
      <c r="M26" s="38" t="str">
        <f>IF(E26="","",IF(E26="TOTAL",SUM($M$13:M25),ROUND(K26*AJ26/100,0)))</f>
        <v/>
      </c>
      <c r="N26" s="38" t="str">
        <f>IF(E26="","",IF(E26="TOTAL",SUM($N$13:N25),0))</f>
        <v/>
      </c>
      <c r="O26" s="35" t="str">
        <f t="shared" si="15"/>
        <v/>
      </c>
      <c r="P26" s="29" t="str">
        <f t="shared" ref="P26:P66" si="22">IF(E26="","",F26-K26)</f>
        <v/>
      </c>
      <c r="Q26" s="29" t="str">
        <f t="shared" ref="Q26:Q66" si="23">IF(E26="","",G26-L26)</f>
        <v/>
      </c>
      <c r="R26" s="29" t="str">
        <f t="shared" ref="R26:R66" si="24">IF(E26="","",H26-M26)</f>
        <v/>
      </c>
      <c r="S26" s="29" t="str">
        <f t="shared" si="10"/>
        <v/>
      </c>
      <c r="T26" s="35" t="str">
        <f t="shared" si="11"/>
        <v/>
      </c>
      <c r="U26" s="39" t="str">
        <f>IF(E26="","",IF(E26="TOTAL",SUM($U$13:U25),ROUND(F26*AK26,0)))</f>
        <v/>
      </c>
      <c r="V26" s="39" t="str">
        <f>IF(E26="","",IF(E26="TOTAL",SUM($V$13:V25),ROUND(K26*AK26,0)))</f>
        <v/>
      </c>
      <c r="W26" s="30" t="str">
        <f t="shared" si="16"/>
        <v/>
      </c>
      <c r="X26" s="87" t="str">
        <f>IF(E26="","",IF(E26="TOTAL",SUM($X$13:X25),IF(F26&lt;18001,265,IF(F26&lt;33501,440,IF(F26&lt;54001,658,875)))))</f>
        <v/>
      </c>
      <c r="Y26" s="87" t="str">
        <f>IF(E26="","",IF(E26="TOTAL",SUM($Y$13:Y25),IF(K26&lt;18001,265,IF(K26&lt;33501,440,IF(K26&lt;54001,658,875)))))</f>
        <v/>
      </c>
      <c r="Z26" s="31" t="str">
        <f>IF(E26="","",IF(E26="TOTAL",SUM($Z$13:Z25),X26-Y26))</f>
        <v/>
      </c>
      <c r="AA26" s="39" t="str">
        <f>IF(E26="","",IF(E26="TOTAL",SUM($AA$13:AA25),0))</f>
        <v/>
      </c>
      <c r="AB26" s="30" t="str">
        <f>IF(E26="","",IF(E26="TOTAL",SUM($AB$13:AB25),ROUND(T26*$Z$5,0)))</f>
        <v/>
      </c>
      <c r="AC26" s="35" t="str">
        <f t="shared" si="17"/>
        <v/>
      </c>
      <c r="AD26" s="36" t="str">
        <f t="shared" si="13"/>
        <v/>
      </c>
      <c r="AE26" s="14"/>
      <c r="AF26" s="14"/>
      <c r="AG26" s="71" t="str">
        <f t="shared" si="18"/>
        <v/>
      </c>
      <c r="AH26" s="71"/>
      <c r="AI26" s="72" t="str">
        <f>IF(OR(E26="",E26="TOTAL"),"",VLOOKUP(DATEVALUE(E26),AM26:$AR$66,2,0))</f>
        <v/>
      </c>
      <c r="AJ26" s="72" t="str">
        <f>IF(OR(E26="",E26="TOTAL"),"",VLOOKUP(DATEVALUE(E26),AM26:$AR$66,3,0))</f>
        <v/>
      </c>
      <c r="AK26" s="73" t="str">
        <f>IF(OR(E26="",E26="TOTAL"),"",VLOOKUP(DATEVALUE(E26),AM26:$AR$66,5,0))</f>
        <v/>
      </c>
      <c r="AL26" s="71"/>
      <c r="AM26" s="74">
        <v>44593</v>
      </c>
      <c r="AN26" s="64">
        <v>34</v>
      </c>
      <c r="AO26" s="64">
        <f t="shared" si="19"/>
        <v>9</v>
      </c>
      <c r="AP26" s="64"/>
      <c r="AQ26" s="65">
        <v>0.03</v>
      </c>
      <c r="AR26" s="75"/>
      <c r="AS26" s="66"/>
      <c r="AT26" s="76"/>
      <c r="AU26" s="66">
        <v>20</v>
      </c>
      <c r="AV26" s="66" t="s">
        <v>47</v>
      </c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</row>
    <row r="27" spans="1:61" s="15" customFormat="1" ht="25.5" customHeight="1" x14ac:dyDescent="0.25">
      <c r="A27" s="14"/>
      <c r="B27" s="27" t="str">
        <f t="shared" si="7"/>
        <v/>
      </c>
      <c r="C27" s="32" t="str">
        <f t="shared" si="20"/>
        <v/>
      </c>
      <c r="D27" s="32" t="str">
        <f t="shared" si="8"/>
        <v/>
      </c>
      <c r="E27" s="37" t="str">
        <f t="shared" si="21"/>
        <v/>
      </c>
      <c r="F27" s="29" t="str">
        <f>IF(E27="","",IF(C27="Jul",MROUND(F26*1.03,100),IF(E27="TOTAL",SUM($F$13:F26),F26)))</f>
        <v/>
      </c>
      <c r="G27" s="29" t="str">
        <f>IF(E27="","",IF(E27="TOTAL",SUM($G$13:G26),ROUND(F27*AI27/100,0)))</f>
        <v/>
      </c>
      <c r="H27" s="38" t="str">
        <f>IF(E27="","",IF(E27="TOTAL",SUM($H$13:H26),ROUND(F27*AJ27/100,0)))</f>
        <v/>
      </c>
      <c r="I27" s="38" t="str">
        <f>IF(E27="","",IF(E27="TOTAL",SUM($I$13:I26),0))</f>
        <v/>
      </c>
      <c r="J27" s="35" t="str">
        <f t="shared" si="9"/>
        <v/>
      </c>
      <c r="K27" s="38" t="str">
        <f>IF(E27="","",IF(C27="Jul",MROUND(K26*1.03,100),IF(E27="TOTAL",SUM($K$13:K26),K26)))</f>
        <v/>
      </c>
      <c r="L27" s="38" t="str">
        <f>IF(E27="","",IF(E27="TOTAL",SUM($L$13:L26),ROUND(K27*AI27/100,0)))</f>
        <v/>
      </c>
      <c r="M27" s="38" t="str">
        <f>IF(E27="","",IF(E27="TOTAL",SUM($M$13:M26),ROUND(K27*AJ27/100,0)))</f>
        <v/>
      </c>
      <c r="N27" s="38" t="str">
        <f>IF(E27="","",IF(E27="TOTAL",SUM($N$13:N26),0))</f>
        <v/>
      </c>
      <c r="O27" s="35" t="str">
        <f t="shared" si="15"/>
        <v/>
      </c>
      <c r="P27" s="29" t="str">
        <f t="shared" si="22"/>
        <v/>
      </c>
      <c r="Q27" s="29" t="str">
        <f t="shared" si="23"/>
        <v/>
      </c>
      <c r="R27" s="29" t="str">
        <f t="shared" si="24"/>
        <v/>
      </c>
      <c r="S27" s="29" t="str">
        <f t="shared" si="10"/>
        <v/>
      </c>
      <c r="T27" s="35" t="str">
        <f t="shared" si="11"/>
        <v/>
      </c>
      <c r="U27" s="39" t="str">
        <f>IF(E27="","",IF(E27="TOTAL",SUM($U$13:U26),ROUND(F27*AK27,0)))</f>
        <v/>
      </c>
      <c r="V27" s="39" t="str">
        <f>IF(E27="","",IF(E27="TOTAL",SUM($V$13:V26),ROUND(K27*AK27,0)))</f>
        <v/>
      </c>
      <c r="W27" s="30" t="str">
        <f t="shared" si="16"/>
        <v/>
      </c>
      <c r="X27" s="87" t="str">
        <f>IF(E27="","",IF(E27="TOTAL",SUM($X$13:X26),IF(F27&lt;18001,265,IF(F27&lt;33501,440,IF(F27&lt;54001,658,875)))))</f>
        <v/>
      </c>
      <c r="Y27" s="87" t="str">
        <f>IF(E27="","",IF(E27="TOTAL",SUM($Y$13:Y26),IF(K27&lt;18001,265,IF(K27&lt;33501,440,IF(K27&lt;54001,658,875)))))</f>
        <v/>
      </c>
      <c r="Z27" s="31" t="str">
        <f>IF(E27="","",IF(E27="TOTAL",SUM($Z$13:Z26),X27-Y27))</f>
        <v/>
      </c>
      <c r="AA27" s="39" t="str">
        <f>IF(E27="","",IF(E27="TOTAL",SUM($AA$13:AA26),0))</f>
        <v/>
      </c>
      <c r="AB27" s="30" t="str">
        <f>IF(E27="","",IF(E27="TOTAL",SUM($AB$13:AB26),ROUND(T27*$Z$5,0)))</f>
        <v/>
      </c>
      <c r="AC27" s="35" t="str">
        <f t="shared" si="17"/>
        <v/>
      </c>
      <c r="AD27" s="36" t="str">
        <f t="shared" si="13"/>
        <v/>
      </c>
      <c r="AE27" s="14"/>
      <c r="AF27" s="14"/>
      <c r="AG27" s="71" t="str">
        <f t="shared" si="18"/>
        <v/>
      </c>
      <c r="AH27" s="71"/>
      <c r="AI27" s="72" t="str">
        <f>IF(OR(E27="",E27="TOTAL"),"",VLOOKUP(DATEVALUE(E27),AM27:$AR$66,2,0))</f>
        <v/>
      </c>
      <c r="AJ27" s="72" t="str">
        <f>IF(OR(E27="",E27="TOTAL"),"",VLOOKUP(DATEVALUE(E27),AM27:$AR$66,3,0))</f>
        <v/>
      </c>
      <c r="AK27" s="73" t="str">
        <f>IF(OR(E27="",E27="TOTAL"),"",VLOOKUP(DATEVALUE(E27),AM27:$AR$66,5,0))</f>
        <v/>
      </c>
      <c r="AL27" s="71"/>
      <c r="AM27" s="74">
        <v>44621</v>
      </c>
      <c r="AN27" s="64">
        <v>34</v>
      </c>
      <c r="AO27" s="64">
        <f t="shared" si="19"/>
        <v>9</v>
      </c>
      <c r="AP27" s="64"/>
      <c r="AQ27" s="65">
        <v>0.03</v>
      </c>
      <c r="AR27" s="75"/>
      <c r="AS27" s="66"/>
      <c r="AT27" s="76"/>
      <c r="AU27" s="66">
        <v>21</v>
      </c>
      <c r="AV27" s="66" t="s">
        <v>48</v>
      </c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</row>
    <row r="28" spans="1:61" s="15" customFormat="1" ht="25.5" customHeight="1" x14ac:dyDescent="0.25">
      <c r="A28" s="14"/>
      <c r="B28" s="27" t="str">
        <f t="shared" si="7"/>
        <v/>
      </c>
      <c r="C28" s="32" t="str">
        <f t="shared" si="20"/>
        <v/>
      </c>
      <c r="D28" s="32" t="str">
        <f t="shared" si="8"/>
        <v/>
      </c>
      <c r="E28" s="37" t="str">
        <f t="shared" si="21"/>
        <v/>
      </c>
      <c r="F28" s="29" t="str">
        <f>IF(E28="","",IF(C28="Jul",MROUND(F27*1.03,100),IF(E28="TOTAL",SUM($F$13:F27),F27)))</f>
        <v/>
      </c>
      <c r="G28" s="29" t="str">
        <f>IF(E28="","",IF(E28="TOTAL",SUM($G$13:G27),ROUND(F28*AI28/100,0)))</f>
        <v/>
      </c>
      <c r="H28" s="38" t="str">
        <f>IF(E28="","",IF(E28="TOTAL",SUM($H$13:H27),ROUND(F28*AJ28/100,0)))</f>
        <v/>
      </c>
      <c r="I28" s="38" t="str">
        <f>IF(E28="","",IF(E28="TOTAL",SUM($I$13:I27),0))</f>
        <v/>
      </c>
      <c r="J28" s="35" t="str">
        <f t="shared" si="9"/>
        <v/>
      </c>
      <c r="K28" s="38" t="str">
        <f>IF(E28="","",IF(C28="Jul",MROUND(K27*1.03,100),IF(E28="TOTAL",SUM($K$13:K27),K27)))</f>
        <v/>
      </c>
      <c r="L28" s="38" t="str">
        <f>IF(E28="","",IF(E28="TOTAL",SUM($L$13:L27),ROUND(K28*AI28/100,0)))</f>
        <v/>
      </c>
      <c r="M28" s="38" t="str">
        <f>IF(E28="","",IF(E28="TOTAL",SUM($M$13:M27),ROUND(K28*AJ28/100,0)))</f>
        <v/>
      </c>
      <c r="N28" s="38" t="str">
        <f>IF(E28="","",IF(E28="TOTAL",SUM($N$13:N27),0))</f>
        <v/>
      </c>
      <c r="O28" s="35" t="str">
        <f t="shared" si="15"/>
        <v/>
      </c>
      <c r="P28" s="29" t="str">
        <f t="shared" si="22"/>
        <v/>
      </c>
      <c r="Q28" s="29" t="str">
        <f t="shared" si="23"/>
        <v/>
      </c>
      <c r="R28" s="29" t="str">
        <f t="shared" si="24"/>
        <v/>
      </c>
      <c r="S28" s="29" t="str">
        <f t="shared" si="10"/>
        <v/>
      </c>
      <c r="T28" s="35" t="str">
        <f t="shared" si="11"/>
        <v/>
      </c>
      <c r="U28" s="39" t="str">
        <f>IF(E28="","",IF(E28="TOTAL",SUM($U$13:U27),ROUND(F28*AK28,0)))</f>
        <v/>
      </c>
      <c r="V28" s="39" t="str">
        <f>IF(E28="","",IF(E28="TOTAL",SUM($V$13:V27),ROUND(K28*AK28,0)))</f>
        <v/>
      </c>
      <c r="W28" s="30" t="str">
        <f t="shared" si="16"/>
        <v/>
      </c>
      <c r="X28" s="87" t="str">
        <f>IF(E28="","",IF(E28="TOTAL",SUM($X$13:X27),IF(F28&lt;18001,265,IF(F28&lt;33501,440,IF(F28&lt;54001,658,875)))))</f>
        <v/>
      </c>
      <c r="Y28" s="87" t="str">
        <f>IF(E28="","",IF(E28="TOTAL",SUM($Y$13:Y27),IF(K28&lt;18001,265,IF(K28&lt;33501,440,IF(K28&lt;54001,658,875)))))</f>
        <v/>
      </c>
      <c r="Z28" s="31" t="str">
        <f>IF(E28="","",IF(E28="TOTAL",SUM($Z$13:Z27),X28-Y28))</f>
        <v/>
      </c>
      <c r="AA28" s="39" t="str">
        <f>IF(E28="","",IF(E28="TOTAL",SUM($AA$13:AA27),0))</f>
        <v/>
      </c>
      <c r="AB28" s="30" t="str">
        <f>IF(E28="","",IF(E28="TOTAL",SUM($AB$13:AB27),ROUND(T28*$Z$5,0)))</f>
        <v/>
      </c>
      <c r="AC28" s="35" t="str">
        <f t="shared" si="17"/>
        <v/>
      </c>
      <c r="AD28" s="36" t="str">
        <f t="shared" si="13"/>
        <v/>
      </c>
      <c r="AE28" s="14"/>
      <c r="AF28" s="14"/>
      <c r="AG28" s="71" t="str">
        <f t="shared" si="18"/>
        <v/>
      </c>
      <c r="AH28" s="71"/>
      <c r="AI28" s="72" t="str">
        <f>IF(OR(E28="",E28="TOTAL"),"",VLOOKUP(DATEVALUE(E28),AM28:$AR$66,2,0))</f>
        <v/>
      </c>
      <c r="AJ28" s="72" t="str">
        <f>IF(OR(E28="",E28="TOTAL"),"",VLOOKUP(DATEVALUE(E28),AM28:$AR$66,3,0))</f>
        <v/>
      </c>
      <c r="AK28" s="73" t="str">
        <f>IF(OR(E28="",E28="TOTAL"),"",VLOOKUP(DATEVALUE(E28),AM28:$AR$66,5,0))</f>
        <v/>
      </c>
      <c r="AL28" s="71"/>
      <c r="AM28" s="74">
        <v>44652</v>
      </c>
      <c r="AN28" s="64">
        <v>34</v>
      </c>
      <c r="AO28" s="64">
        <f t="shared" si="19"/>
        <v>9</v>
      </c>
      <c r="AP28" s="64"/>
      <c r="AQ28" s="65"/>
      <c r="AR28" s="75"/>
      <c r="AS28" s="66"/>
      <c r="AT28" s="76"/>
      <c r="AU28" s="66">
        <v>22</v>
      </c>
      <c r="AV28" s="66" t="s">
        <v>49</v>
      </c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</row>
    <row r="29" spans="1:61" s="15" customFormat="1" ht="25.5" customHeight="1" x14ac:dyDescent="0.25">
      <c r="A29" s="14"/>
      <c r="B29" s="27" t="str">
        <f t="shared" si="7"/>
        <v/>
      </c>
      <c r="C29" s="32" t="str">
        <f t="shared" si="20"/>
        <v/>
      </c>
      <c r="D29" s="32" t="str">
        <f t="shared" si="8"/>
        <v/>
      </c>
      <c r="E29" s="37" t="str">
        <f t="shared" si="21"/>
        <v/>
      </c>
      <c r="F29" s="29" t="str">
        <f>IF(E29="","",IF(C29="Jul",MROUND(F28*1.03,100),IF(E29="TOTAL",SUM($F$13:F28),F28)))</f>
        <v/>
      </c>
      <c r="G29" s="29" t="str">
        <f>IF(E29="","",IF(E29="TOTAL",SUM($G$13:G28),ROUND(F29*AI29/100,0)))</f>
        <v/>
      </c>
      <c r="H29" s="38" t="str">
        <f>IF(E29="","",IF(E29="TOTAL",SUM($H$13:H28),ROUND(F29*AJ29/100,0)))</f>
        <v/>
      </c>
      <c r="I29" s="38" t="str">
        <f>IF(E29="","",IF(E29="TOTAL",SUM($I$13:I28),0))</f>
        <v/>
      </c>
      <c r="J29" s="35" t="str">
        <f t="shared" si="9"/>
        <v/>
      </c>
      <c r="K29" s="38" t="str">
        <f>IF(E29="","",IF(C29="Jul",MROUND(K28*1.03,100),IF(E29="TOTAL",SUM($K$13:K28),K28)))</f>
        <v/>
      </c>
      <c r="L29" s="38" t="str">
        <f>IF(E29="","",IF(E29="TOTAL",SUM($L$13:L28),ROUND(K29*AI29/100,0)))</f>
        <v/>
      </c>
      <c r="M29" s="38" t="str">
        <f>IF(E29="","",IF(E29="TOTAL",SUM($M$13:M28),ROUND(K29*AJ29/100,0)))</f>
        <v/>
      </c>
      <c r="N29" s="38" t="str">
        <f>IF(E29="","",IF(E29="TOTAL",SUM($N$13:N28),0))</f>
        <v/>
      </c>
      <c r="O29" s="35" t="str">
        <f t="shared" si="15"/>
        <v/>
      </c>
      <c r="P29" s="29" t="str">
        <f t="shared" si="22"/>
        <v/>
      </c>
      <c r="Q29" s="29" t="str">
        <f t="shared" si="23"/>
        <v/>
      </c>
      <c r="R29" s="29" t="str">
        <f t="shared" si="24"/>
        <v/>
      </c>
      <c r="S29" s="29" t="str">
        <f t="shared" si="10"/>
        <v/>
      </c>
      <c r="T29" s="35" t="str">
        <f t="shared" si="11"/>
        <v/>
      </c>
      <c r="U29" s="39" t="str">
        <f>IF(E29="","",IF(E29="TOTAL",SUM($U$13:U28),ROUND(F29*AK29,0)))</f>
        <v/>
      </c>
      <c r="V29" s="39" t="str">
        <f>IF(E29="","",IF(E29="TOTAL",SUM($V$13:V28),ROUND(K29*AK29,0)))</f>
        <v/>
      </c>
      <c r="W29" s="30" t="str">
        <f t="shared" si="16"/>
        <v/>
      </c>
      <c r="X29" s="87" t="str">
        <f>IF(E29="","",IF(E29="TOTAL",SUM($X$13:X28),IF(F29&lt;18001,265,IF(F29&lt;33501,440,IF(F29&lt;54001,658,875)))))</f>
        <v/>
      </c>
      <c r="Y29" s="87" t="str">
        <f>IF(E29="","",IF(E29="TOTAL",SUM($Y$13:Y28),IF(K29&lt;18001,265,IF(K29&lt;33501,440,IF(K29&lt;54001,658,875)))))</f>
        <v/>
      </c>
      <c r="Z29" s="31" t="str">
        <f>IF(E29="","",IF(E29="TOTAL",SUM($Z$13:Z28),X29-Y29))</f>
        <v/>
      </c>
      <c r="AA29" s="39" t="str">
        <f>IF(E29="","",IF(E29="TOTAL",SUM($AA$13:AA28),0))</f>
        <v/>
      </c>
      <c r="AB29" s="30" t="str">
        <f>IF(E29="","",IF(E29="TOTAL",SUM($AB$13:AB28),ROUND(T29*$Z$5,0)))</f>
        <v/>
      </c>
      <c r="AC29" s="35" t="str">
        <f t="shared" si="17"/>
        <v/>
      </c>
      <c r="AD29" s="36" t="str">
        <f t="shared" si="13"/>
        <v/>
      </c>
      <c r="AE29" s="14"/>
      <c r="AF29" s="14"/>
      <c r="AG29" s="71" t="str">
        <f t="shared" si="18"/>
        <v/>
      </c>
      <c r="AH29" s="71"/>
      <c r="AI29" s="72" t="str">
        <f>IF(OR(E29="",E29="TOTAL"),"",VLOOKUP(DATEVALUE(E29),AM29:$AR$66,2,0))</f>
        <v/>
      </c>
      <c r="AJ29" s="72" t="str">
        <f>IF(OR(E29="",E29="TOTAL"),"",VLOOKUP(DATEVALUE(E29),AM29:$AR$66,3,0))</f>
        <v/>
      </c>
      <c r="AK29" s="73" t="str">
        <f>IF(OR(E29="",E29="TOTAL"),"",VLOOKUP(DATEVALUE(E29),AM29:$AR$66,5,0))</f>
        <v/>
      </c>
      <c r="AL29" s="71"/>
      <c r="AM29" s="74">
        <v>44682</v>
      </c>
      <c r="AN29" s="64">
        <v>34</v>
      </c>
      <c r="AO29" s="64">
        <f t="shared" si="19"/>
        <v>9</v>
      </c>
      <c r="AP29" s="64"/>
      <c r="AQ29" s="65"/>
      <c r="AR29" s="75"/>
      <c r="AS29" s="66"/>
      <c r="AT29" s="76"/>
      <c r="AU29" s="66">
        <v>23</v>
      </c>
      <c r="AV29" s="66" t="s">
        <v>50</v>
      </c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</row>
    <row r="30" spans="1:61" s="17" customFormat="1" ht="25.5" customHeight="1" x14ac:dyDescent="0.3">
      <c r="A30" s="16"/>
      <c r="B30" s="27" t="str">
        <f t="shared" si="7"/>
        <v/>
      </c>
      <c r="C30" s="32" t="str">
        <f t="shared" si="20"/>
        <v/>
      </c>
      <c r="D30" s="32" t="str">
        <f t="shared" si="8"/>
        <v/>
      </c>
      <c r="E30" s="37" t="str">
        <f t="shared" si="21"/>
        <v/>
      </c>
      <c r="F30" s="29" t="str">
        <f>IF(E30="","",IF(C30="Jul",MROUND(F29*1.03,100),IF(E30="TOTAL",SUM($F$13:F29),F29)))</f>
        <v/>
      </c>
      <c r="G30" s="29" t="str">
        <f>IF(E30="","",IF(E30="TOTAL",SUM($G$13:G29),ROUND(F30*AI30/100,0)))</f>
        <v/>
      </c>
      <c r="H30" s="38" t="str">
        <f>IF(E30="","",IF(E30="TOTAL",SUM($H$13:H29),ROUND(F30*AJ30/100,0)))</f>
        <v/>
      </c>
      <c r="I30" s="38" t="str">
        <f>IF(E30="","",IF(E30="TOTAL",SUM($I$13:I29),0))</f>
        <v/>
      </c>
      <c r="J30" s="35" t="str">
        <f t="shared" si="9"/>
        <v/>
      </c>
      <c r="K30" s="38" t="str">
        <f>IF(E30="","",IF(C30="Jul",MROUND(K29*1.03,100),IF(E30="TOTAL",SUM($K$13:K29),K29)))</f>
        <v/>
      </c>
      <c r="L30" s="38" t="str">
        <f>IF(E30="","",IF(E30="TOTAL",SUM($L$13:L29),ROUND(K30*AI30/100,0)))</f>
        <v/>
      </c>
      <c r="M30" s="38" t="str">
        <f>IF(E30="","",IF(E30="TOTAL",SUM($M$13:M29),ROUND(K30*AJ30/100,0)))</f>
        <v/>
      </c>
      <c r="N30" s="38" t="str">
        <f>IF(E30="","",IF(E30="TOTAL",SUM($N$13:N29),0))</f>
        <v/>
      </c>
      <c r="O30" s="35" t="str">
        <f t="shared" si="15"/>
        <v/>
      </c>
      <c r="P30" s="29" t="str">
        <f t="shared" si="22"/>
        <v/>
      </c>
      <c r="Q30" s="29" t="str">
        <f t="shared" si="23"/>
        <v/>
      </c>
      <c r="R30" s="29" t="str">
        <f t="shared" si="24"/>
        <v/>
      </c>
      <c r="S30" s="29" t="str">
        <f t="shared" si="10"/>
        <v/>
      </c>
      <c r="T30" s="35" t="str">
        <f t="shared" si="11"/>
        <v/>
      </c>
      <c r="U30" s="39" t="str">
        <f>IF(E30="","",IF(E30="TOTAL",SUM($U$13:U29),ROUND(F30*AK30,0)))</f>
        <v/>
      </c>
      <c r="V30" s="39" t="str">
        <f>IF(E30="","",IF(E30="TOTAL",SUM($V$13:V29),ROUND(K30*AK30,0)))</f>
        <v/>
      </c>
      <c r="W30" s="30" t="str">
        <f t="shared" si="16"/>
        <v/>
      </c>
      <c r="X30" s="87" t="str">
        <f>IF(E30="","",IF(E30="TOTAL",SUM($X$13:X29),IF(F30&lt;18001,265,IF(F30&lt;33501,440,IF(F30&lt;54001,658,875)))))</f>
        <v/>
      </c>
      <c r="Y30" s="87" t="str">
        <f>IF(E30="","",IF(E30="TOTAL",SUM($Y$13:Y29),IF(K30&lt;18001,265,IF(K30&lt;33501,440,IF(K30&lt;54001,658,875)))))</f>
        <v/>
      </c>
      <c r="Z30" s="31" t="str">
        <f>IF(E30="","",IF(E30="TOTAL",SUM($Z$13:Z29),X30-Y30))</f>
        <v/>
      </c>
      <c r="AA30" s="39" t="str">
        <f>IF(E30="","",IF(E30="TOTAL",SUM($AA$13:AA29),0))</f>
        <v/>
      </c>
      <c r="AB30" s="30" t="str">
        <f>IF(E30="","",IF(E30="TOTAL",SUM($AB$13:AB29),ROUND(T30*$Z$5,0)))</f>
        <v/>
      </c>
      <c r="AC30" s="35" t="str">
        <f t="shared" si="17"/>
        <v/>
      </c>
      <c r="AD30" s="36" t="str">
        <f t="shared" si="13"/>
        <v/>
      </c>
      <c r="AE30" s="16"/>
      <c r="AF30" s="16"/>
      <c r="AG30" s="71" t="str">
        <f t="shared" si="18"/>
        <v/>
      </c>
      <c r="AH30" s="71"/>
      <c r="AI30" s="72" t="str">
        <f>IF(OR(E30="",E30="TOTAL"),"",VLOOKUP(DATEVALUE(E30),AM30:$AR$66,2,0))</f>
        <v/>
      </c>
      <c r="AJ30" s="72" t="str">
        <f>IF(OR(E30="",E30="TOTAL"),"",VLOOKUP(DATEVALUE(E30),AM30:$AR$66,3,0))</f>
        <v/>
      </c>
      <c r="AK30" s="73" t="str">
        <f>IF(OR(E30="",E30="TOTAL"),"",VLOOKUP(DATEVALUE(E30),AM30:$AR$66,5,0))</f>
        <v/>
      </c>
      <c r="AL30" s="71"/>
      <c r="AM30" s="74">
        <v>44713</v>
      </c>
      <c r="AN30" s="64">
        <v>34</v>
      </c>
      <c r="AO30" s="64">
        <f t="shared" si="19"/>
        <v>9</v>
      </c>
      <c r="AP30" s="64"/>
      <c r="AQ30" s="65"/>
      <c r="AR30" s="75"/>
      <c r="AS30" s="66"/>
      <c r="AT30" s="76"/>
      <c r="AU30" s="66">
        <v>24</v>
      </c>
      <c r="AV30" s="66" t="s">
        <v>51</v>
      </c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</row>
    <row r="31" spans="1:61" s="34" customFormat="1" ht="25.5" customHeight="1" x14ac:dyDescent="0.25">
      <c r="A31" s="33"/>
      <c r="B31" s="27" t="str">
        <f t="shared" si="7"/>
        <v/>
      </c>
      <c r="C31" s="32" t="str">
        <f t="shared" si="20"/>
        <v/>
      </c>
      <c r="D31" s="32" t="str">
        <f t="shared" si="8"/>
        <v/>
      </c>
      <c r="E31" s="37" t="str">
        <f t="shared" si="21"/>
        <v/>
      </c>
      <c r="F31" s="29" t="str">
        <f>IF(E31="","",IF(C31="Jul",MROUND(F30*1.03,100),IF(E31="TOTAL",SUM($F$13:F30),F30)))</f>
        <v/>
      </c>
      <c r="G31" s="29" t="str">
        <f>IF(E31="","",IF(E31="TOTAL",SUM($G$13:G30),ROUND(F31*AI31/100,0)))</f>
        <v/>
      </c>
      <c r="H31" s="38" t="str">
        <f>IF(E31="","",IF(E31="TOTAL",SUM($H$13:H30),ROUND(F31*AJ31/100,0)))</f>
        <v/>
      </c>
      <c r="I31" s="38" t="str">
        <f>IF(E31="","",IF(E31="TOTAL",SUM($I$13:I30),0))</f>
        <v/>
      </c>
      <c r="J31" s="35" t="str">
        <f t="shared" si="9"/>
        <v/>
      </c>
      <c r="K31" s="38" t="str">
        <f>IF(E31="","",IF(C31="Jul",MROUND(K30*1.03,100),IF(E31="TOTAL",SUM($K$13:K30),K30)))</f>
        <v/>
      </c>
      <c r="L31" s="38" t="str">
        <f>IF(E31="","",IF(E31="TOTAL",SUM($L$13:L30),ROUND(K31*AI31/100,0)))</f>
        <v/>
      </c>
      <c r="M31" s="38" t="str">
        <f>IF(E31="","",IF(E31="TOTAL",SUM($M$13:M30),ROUND(K31*AJ31/100,0)))</f>
        <v/>
      </c>
      <c r="N31" s="38" t="str">
        <f>IF(E31="","",IF(E31="TOTAL",SUM($N$13:N30),0))</f>
        <v/>
      </c>
      <c r="O31" s="35" t="str">
        <f t="shared" si="15"/>
        <v/>
      </c>
      <c r="P31" s="29" t="str">
        <f t="shared" si="22"/>
        <v/>
      </c>
      <c r="Q31" s="29" t="str">
        <f t="shared" si="23"/>
        <v/>
      </c>
      <c r="R31" s="29" t="str">
        <f t="shared" si="24"/>
        <v/>
      </c>
      <c r="S31" s="29" t="str">
        <f t="shared" si="10"/>
        <v/>
      </c>
      <c r="T31" s="35" t="str">
        <f t="shared" si="11"/>
        <v/>
      </c>
      <c r="U31" s="39" t="str">
        <f>IF(E31="","",IF(E31="TOTAL",SUM($U$13:U30),ROUND(F31*AK31,0)))</f>
        <v/>
      </c>
      <c r="V31" s="39" t="str">
        <f>IF(E31="","",IF(E31="TOTAL",SUM($V$13:V30),ROUND(K31*AK31,0)))</f>
        <v/>
      </c>
      <c r="W31" s="30" t="str">
        <f t="shared" si="16"/>
        <v/>
      </c>
      <c r="X31" s="87" t="str">
        <f>IF(E31="","",IF(E31="TOTAL",SUM($X$13:X30),IF(F31&lt;18001,265,IF(F31&lt;33501,440,IF(F31&lt;54001,658,875)))))</f>
        <v/>
      </c>
      <c r="Y31" s="87" t="str">
        <f>IF(E31="","",IF(E31="TOTAL",SUM($Y$13:Y30),IF(K31&lt;18001,265,IF(K31&lt;33501,440,IF(K31&lt;54001,658,875)))))</f>
        <v/>
      </c>
      <c r="Z31" s="31" t="str">
        <f>IF(E31="","",IF(E31="TOTAL",SUM($Z$13:Z30),X31-Y31))</f>
        <v/>
      </c>
      <c r="AA31" s="39" t="str">
        <f>IF(E31="","",IF(E31="TOTAL",SUM($AA$13:AA30),0))</f>
        <v/>
      </c>
      <c r="AB31" s="30" t="str">
        <f>IF(E31="","",IF(E31="TOTAL",SUM($AB$13:AB30),ROUND(T31*$Z$5,0)))</f>
        <v/>
      </c>
      <c r="AC31" s="35" t="str">
        <f t="shared" si="17"/>
        <v/>
      </c>
      <c r="AD31" s="36" t="str">
        <f t="shared" si="13"/>
        <v/>
      </c>
      <c r="AE31" s="7"/>
      <c r="AF31" s="7"/>
      <c r="AG31" s="71" t="str">
        <f t="shared" si="18"/>
        <v/>
      </c>
      <c r="AH31" s="71"/>
      <c r="AI31" s="72" t="str">
        <f>IF(OR(E31="",E31="TOTAL"),"",VLOOKUP(DATEVALUE(E31),AM31:$AR$66,2,0))</f>
        <v/>
      </c>
      <c r="AJ31" s="72" t="str">
        <f>IF(OR(E31="",E31="TOTAL"),"",VLOOKUP(DATEVALUE(E31),AM31:$AR$66,3,0))</f>
        <v/>
      </c>
      <c r="AK31" s="73" t="str">
        <f>IF(OR(E31="",E31="TOTAL"),"",VLOOKUP(DATEVALUE(E31),AM31:$AR$66,5,0))</f>
        <v/>
      </c>
      <c r="AL31" s="71"/>
      <c r="AM31" s="74">
        <v>44743</v>
      </c>
      <c r="AN31" s="64">
        <v>38</v>
      </c>
      <c r="AO31" s="64">
        <f t="shared" si="19"/>
        <v>9</v>
      </c>
      <c r="AP31" s="64"/>
      <c r="AQ31" s="65">
        <v>0.04</v>
      </c>
      <c r="AR31" s="75"/>
      <c r="AS31" s="66"/>
      <c r="AT31" s="76"/>
      <c r="AU31" s="66">
        <v>25</v>
      </c>
      <c r="AV31" s="76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</row>
    <row r="32" spans="1:61" s="34" customFormat="1" ht="25.5" customHeight="1" x14ac:dyDescent="0.25">
      <c r="A32" s="33"/>
      <c r="B32" s="27" t="str">
        <f t="shared" si="7"/>
        <v/>
      </c>
      <c r="C32" s="32" t="str">
        <f t="shared" si="20"/>
        <v/>
      </c>
      <c r="D32" s="32" t="str">
        <f t="shared" si="8"/>
        <v/>
      </c>
      <c r="E32" s="37" t="str">
        <f t="shared" si="21"/>
        <v/>
      </c>
      <c r="F32" s="29" t="str">
        <f>IF(E32="","",IF(C32="Jul",MROUND(F31*1.03,100),IF(E32="TOTAL",SUM($F$13:F31),F31)))</f>
        <v/>
      </c>
      <c r="G32" s="29" t="str">
        <f>IF(E32="","",IF(E32="TOTAL",SUM($G$13:G31),ROUND(F32*AI32/100,0)))</f>
        <v/>
      </c>
      <c r="H32" s="38" t="str">
        <f>IF(E32="","",IF(E32="TOTAL",SUM($H$13:H31),ROUND(F32*AJ32/100,0)))</f>
        <v/>
      </c>
      <c r="I32" s="38" t="str">
        <f>IF(E32="","",IF(E32="TOTAL",SUM($I$13:I31),0))</f>
        <v/>
      </c>
      <c r="J32" s="35" t="str">
        <f t="shared" si="9"/>
        <v/>
      </c>
      <c r="K32" s="38" t="str">
        <f>IF(E32="","",IF(C32="Jul",MROUND(K31*1.03,100),IF(E32="TOTAL",SUM($K$13:K31),K31)))</f>
        <v/>
      </c>
      <c r="L32" s="38" t="str">
        <f>IF(E32="","",IF(E32="TOTAL",SUM($L$13:L31),ROUND(K32*AI32/100,0)))</f>
        <v/>
      </c>
      <c r="M32" s="38" t="str">
        <f>IF(E32="","",IF(E32="TOTAL",SUM($M$13:M31),ROUND(K32*AJ32/100,0)))</f>
        <v/>
      </c>
      <c r="N32" s="38" t="str">
        <f>IF(E32="","",IF(E32="TOTAL",SUM($N$13:N31),0))</f>
        <v/>
      </c>
      <c r="O32" s="35" t="str">
        <f t="shared" si="15"/>
        <v/>
      </c>
      <c r="P32" s="29" t="str">
        <f t="shared" si="22"/>
        <v/>
      </c>
      <c r="Q32" s="29" t="str">
        <f t="shared" si="23"/>
        <v/>
      </c>
      <c r="R32" s="29" t="str">
        <f t="shared" si="24"/>
        <v/>
      </c>
      <c r="S32" s="29" t="str">
        <f t="shared" si="10"/>
        <v/>
      </c>
      <c r="T32" s="35" t="str">
        <f t="shared" si="11"/>
        <v/>
      </c>
      <c r="U32" s="39" t="str">
        <f>IF(E32="","",IF(E32="TOTAL",SUM($U$13:U31),ROUND(F32*AK32,0)))</f>
        <v/>
      </c>
      <c r="V32" s="39" t="str">
        <f>IF(E32="","",IF(E32="TOTAL",SUM($V$13:V31),ROUND(K32*AK32,0)))</f>
        <v/>
      </c>
      <c r="W32" s="30" t="str">
        <f t="shared" si="16"/>
        <v/>
      </c>
      <c r="X32" s="87" t="str">
        <f>IF(E32="","",IF(E32="TOTAL",SUM($X$13:X31),IF(F32&lt;18001,265,IF(F32&lt;33501,440,IF(F32&lt;54001,658,875)))))</f>
        <v/>
      </c>
      <c r="Y32" s="87" t="str">
        <f>IF(E32="","",IF(E32="TOTAL",SUM($Y$13:Y31),IF(K32&lt;18001,265,IF(K32&lt;33501,440,IF(K32&lt;54001,658,875)))))</f>
        <v/>
      </c>
      <c r="Z32" s="31" t="str">
        <f>IF(E32="","",IF(E32="TOTAL",SUM($Z$13:Z31),X32-Y32))</f>
        <v/>
      </c>
      <c r="AA32" s="39" t="str">
        <f>IF(E32="","",IF(E32="TOTAL",SUM($AA$13:AA31),0))</f>
        <v/>
      </c>
      <c r="AB32" s="30" t="str">
        <f>IF(E32="","",IF(E32="TOTAL",SUM($AB$13:AB31),ROUND(T32*$Z$5,0)))</f>
        <v/>
      </c>
      <c r="AC32" s="35" t="str">
        <f t="shared" si="17"/>
        <v/>
      </c>
      <c r="AD32" s="36" t="str">
        <f t="shared" si="13"/>
        <v/>
      </c>
      <c r="AE32" s="7"/>
      <c r="AF32" s="7"/>
      <c r="AG32" s="71" t="str">
        <f t="shared" si="18"/>
        <v/>
      </c>
      <c r="AH32" s="71"/>
      <c r="AI32" s="72" t="str">
        <f>IF(OR(E32="",E32="TOTAL"),"",VLOOKUP(DATEVALUE(E32),AM32:$AR$66,2,0))</f>
        <v/>
      </c>
      <c r="AJ32" s="72" t="str">
        <f>IF(OR(E32="",E32="TOTAL"),"",VLOOKUP(DATEVALUE(E32),AM32:$AR$66,3,0))</f>
        <v/>
      </c>
      <c r="AK32" s="73" t="str">
        <f>IF(OR(E32="",E32="TOTAL"),"",VLOOKUP(DATEVALUE(E32),AM32:$AR$66,5,0))</f>
        <v/>
      </c>
      <c r="AL32" s="71"/>
      <c r="AM32" s="74">
        <v>44774</v>
      </c>
      <c r="AN32" s="64">
        <v>38</v>
      </c>
      <c r="AO32" s="64">
        <f t="shared" si="19"/>
        <v>9</v>
      </c>
      <c r="AP32" s="64"/>
      <c r="AQ32" s="65">
        <v>0.04</v>
      </c>
      <c r="AR32" s="75"/>
      <c r="AS32" s="66"/>
      <c r="AT32" s="76"/>
      <c r="AU32" s="66">
        <v>26</v>
      </c>
      <c r="AV32" s="76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</row>
    <row r="33" spans="1:61" s="34" customFormat="1" ht="25.5" customHeight="1" x14ac:dyDescent="0.25">
      <c r="A33" s="33"/>
      <c r="B33" s="27" t="str">
        <f t="shared" si="7"/>
        <v/>
      </c>
      <c r="C33" s="32" t="str">
        <f t="shared" si="20"/>
        <v/>
      </c>
      <c r="D33" s="32" t="str">
        <f t="shared" si="8"/>
        <v/>
      </c>
      <c r="E33" s="37" t="str">
        <f t="shared" si="21"/>
        <v/>
      </c>
      <c r="F33" s="29" t="str">
        <f>IF(E33="","",IF(C33="Jul",MROUND(F32*1.03,100),IF(E33="TOTAL",SUM($F$13:F32),F32)))</f>
        <v/>
      </c>
      <c r="G33" s="29" t="str">
        <f>IF(E33="","",IF(E33="TOTAL",SUM($G$13:G32),ROUND(F33*AI33/100,0)))</f>
        <v/>
      </c>
      <c r="H33" s="38" t="str">
        <f>IF(E33="","",IF(E33="TOTAL",SUM($H$13:H32),ROUND(F33*AJ33/100,0)))</f>
        <v/>
      </c>
      <c r="I33" s="38" t="str">
        <f>IF(E33="","",IF(E33="TOTAL",SUM($I$13:I32),0))</f>
        <v/>
      </c>
      <c r="J33" s="35" t="str">
        <f t="shared" si="9"/>
        <v/>
      </c>
      <c r="K33" s="38" t="str">
        <f>IF(E33="","",IF(C33="Jul",MROUND(K32*1.03,100),IF(E33="TOTAL",SUM($K$13:K32),K32)))</f>
        <v/>
      </c>
      <c r="L33" s="38" t="str">
        <f>IF(E33="","",IF(E33="TOTAL",SUM($L$13:L32),ROUND(K33*AI33/100,0)))</f>
        <v/>
      </c>
      <c r="M33" s="38" t="str">
        <f>IF(E33="","",IF(E33="TOTAL",SUM($M$13:M32),ROUND(K33*AJ33/100,0)))</f>
        <v/>
      </c>
      <c r="N33" s="38" t="str">
        <f>IF(E33="","",IF(E33="TOTAL",SUM($N$13:N32),0))</f>
        <v/>
      </c>
      <c r="O33" s="35" t="str">
        <f t="shared" si="15"/>
        <v/>
      </c>
      <c r="P33" s="29" t="str">
        <f t="shared" si="22"/>
        <v/>
      </c>
      <c r="Q33" s="29" t="str">
        <f t="shared" si="23"/>
        <v/>
      </c>
      <c r="R33" s="29" t="str">
        <f t="shared" si="24"/>
        <v/>
      </c>
      <c r="S33" s="29" t="str">
        <f t="shared" si="10"/>
        <v/>
      </c>
      <c r="T33" s="35" t="str">
        <f t="shared" si="11"/>
        <v/>
      </c>
      <c r="U33" s="39" t="str">
        <f>IF(E33="","",IF(E33="TOTAL",SUM($U$13:U32),ROUND(F33*AK33,0)))</f>
        <v/>
      </c>
      <c r="V33" s="39" t="str">
        <f>IF(E33="","",IF(E33="TOTAL",SUM($V$13:V32),ROUND(K33*AK33,0)))</f>
        <v/>
      </c>
      <c r="W33" s="30" t="str">
        <f t="shared" si="16"/>
        <v/>
      </c>
      <c r="X33" s="87" t="str">
        <f>IF(E33="","",IF(E33="TOTAL",SUM($X$13:X32),IF(F33&lt;18001,265,IF(F33&lt;33501,440,IF(F33&lt;54001,658,875)))))</f>
        <v/>
      </c>
      <c r="Y33" s="87" t="str">
        <f>IF(E33="","",IF(E33="TOTAL",SUM($Y$13:Y32),IF(K33&lt;18001,265,IF(K33&lt;33501,440,IF(K33&lt;54001,658,875)))))</f>
        <v/>
      </c>
      <c r="Z33" s="31" t="str">
        <f>IF(E33="","",IF(E33="TOTAL",SUM($Z$13:Z32),X33-Y33))</f>
        <v/>
      </c>
      <c r="AA33" s="39" t="str">
        <f>IF(E33="","",IF(E33="TOTAL",SUM($AA$13:AA32),0))</f>
        <v/>
      </c>
      <c r="AB33" s="30" t="str">
        <f>IF(E33="","",IF(E33="TOTAL",SUM($AB$13:AB32),ROUND(T33*$Z$5,0)))</f>
        <v/>
      </c>
      <c r="AC33" s="35" t="str">
        <f t="shared" si="17"/>
        <v/>
      </c>
      <c r="AD33" s="36" t="str">
        <f t="shared" si="13"/>
        <v/>
      </c>
      <c r="AE33" s="7"/>
      <c r="AF33" s="7"/>
      <c r="AG33" s="71" t="str">
        <f t="shared" si="18"/>
        <v/>
      </c>
      <c r="AH33" s="71"/>
      <c r="AI33" s="72" t="str">
        <f>IF(OR(E33="",E33="TOTAL"),"",VLOOKUP(DATEVALUE(E33),AM33:$AR$66,2,0))</f>
        <v/>
      </c>
      <c r="AJ33" s="72" t="str">
        <f>IF(OR(E33="",E33="TOTAL"),"",VLOOKUP(DATEVALUE(E33),AM33:$AR$66,3,0))</f>
        <v/>
      </c>
      <c r="AK33" s="73" t="str">
        <f>IF(OR(E33="",E33="TOTAL"),"",VLOOKUP(DATEVALUE(E33),AM33:$AR$66,5,0))</f>
        <v/>
      </c>
      <c r="AL33" s="71"/>
      <c r="AM33" s="74">
        <v>44805</v>
      </c>
      <c r="AN33" s="64">
        <v>38</v>
      </c>
      <c r="AO33" s="64">
        <f t="shared" si="19"/>
        <v>9</v>
      </c>
      <c r="AP33" s="64"/>
      <c r="AQ33" s="65">
        <v>0.04</v>
      </c>
      <c r="AR33" s="75"/>
      <c r="AS33" s="66"/>
      <c r="AT33" s="76"/>
      <c r="AU33" s="66">
        <v>27</v>
      </c>
      <c r="AV33" s="76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</row>
    <row r="34" spans="1:61" s="34" customFormat="1" ht="25.5" customHeight="1" x14ac:dyDescent="0.25">
      <c r="A34" s="33"/>
      <c r="B34" s="27" t="str">
        <f t="shared" si="7"/>
        <v/>
      </c>
      <c r="C34" s="32" t="str">
        <f t="shared" si="20"/>
        <v/>
      </c>
      <c r="D34" s="32" t="str">
        <f t="shared" si="8"/>
        <v/>
      </c>
      <c r="E34" s="37" t="str">
        <f t="shared" si="21"/>
        <v/>
      </c>
      <c r="F34" s="29" t="str">
        <f>IF(E34="","",IF(C34="Jul",MROUND(F33*1.03,100),IF(E34="TOTAL",SUM($F$13:F33),F33)))</f>
        <v/>
      </c>
      <c r="G34" s="29" t="str">
        <f>IF(E34="","",IF(E34="TOTAL",SUM($G$13:G33),ROUND(F34*AI34/100,0)))</f>
        <v/>
      </c>
      <c r="H34" s="38" t="str">
        <f>IF(E34="","",IF(E34="TOTAL",SUM($H$13:H33),ROUND(F34*AJ34/100,0)))</f>
        <v/>
      </c>
      <c r="I34" s="38" t="str">
        <f>IF(E34="","",IF(E34="TOTAL",SUM($I$13:I33),0))</f>
        <v/>
      </c>
      <c r="J34" s="35" t="str">
        <f t="shared" si="9"/>
        <v/>
      </c>
      <c r="K34" s="38" t="str">
        <f>IF(E34="","",IF(C34="Jul",MROUND(K33*1.03,100),IF(E34="TOTAL",SUM($K$13:K33),K33)))</f>
        <v/>
      </c>
      <c r="L34" s="38" t="str">
        <f>IF(E34="","",IF(E34="TOTAL",SUM($L$13:L33),ROUND(K34*AI34/100,0)))</f>
        <v/>
      </c>
      <c r="M34" s="38" t="str">
        <f>IF(E34="","",IF(E34="TOTAL",SUM($M$13:M33),ROUND(K34*AJ34/100,0)))</f>
        <v/>
      </c>
      <c r="N34" s="38" t="str">
        <f>IF(E34="","",IF(E34="TOTAL",SUM($N$13:N33),0))</f>
        <v/>
      </c>
      <c r="O34" s="35" t="str">
        <f t="shared" si="15"/>
        <v/>
      </c>
      <c r="P34" s="29" t="str">
        <f t="shared" si="22"/>
        <v/>
      </c>
      <c r="Q34" s="29" t="str">
        <f t="shared" si="23"/>
        <v/>
      </c>
      <c r="R34" s="29" t="str">
        <f t="shared" si="24"/>
        <v/>
      </c>
      <c r="S34" s="29" t="str">
        <f t="shared" si="10"/>
        <v/>
      </c>
      <c r="T34" s="35" t="str">
        <f t="shared" si="11"/>
        <v/>
      </c>
      <c r="U34" s="39" t="str">
        <f>IF(E34="","",IF(E34="TOTAL",SUM($U$13:U33),ROUND(F34*AK34,0)))</f>
        <v/>
      </c>
      <c r="V34" s="39" t="str">
        <f>IF(E34="","",IF(E34="TOTAL",SUM($V$13:V33),ROUND(K34*AK34,0)))</f>
        <v/>
      </c>
      <c r="W34" s="30" t="str">
        <f t="shared" si="16"/>
        <v/>
      </c>
      <c r="X34" s="87" t="str">
        <f>IF(E34="","",IF(E34="TOTAL",SUM($X$13:X33),IF(F34&lt;18001,265,IF(F34&lt;33501,440,IF(F34&lt;54001,658,875)))))</f>
        <v/>
      </c>
      <c r="Y34" s="87" t="str">
        <f>IF(E34="","",IF(E34="TOTAL",SUM($Y$13:Y33),IF(K34&lt;18001,265,IF(K34&lt;33501,440,IF(K34&lt;54001,658,875)))))</f>
        <v/>
      </c>
      <c r="Z34" s="31" t="str">
        <f>IF(E34="","",IF(E34="TOTAL",SUM($Z$13:Z33),X34-Y34))</f>
        <v/>
      </c>
      <c r="AA34" s="39" t="str">
        <f>IF(E34="","",IF(E34="TOTAL",SUM($AA$13:AA33),0))</f>
        <v/>
      </c>
      <c r="AB34" s="30" t="str">
        <f>IF(E34="","",IF(E34="TOTAL",SUM($AB$13:AB33),ROUND(T34*$Z$5,0)))</f>
        <v/>
      </c>
      <c r="AC34" s="35" t="str">
        <f t="shared" si="17"/>
        <v/>
      </c>
      <c r="AD34" s="36" t="str">
        <f t="shared" si="13"/>
        <v/>
      </c>
      <c r="AE34" s="7"/>
      <c r="AF34" s="7"/>
      <c r="AG34" s="71" t="str">
        <f t="shared" si="18"/>
        <v/>
      </c>
      <c r="AH34" s="71"/>
      <c r="AI34" s="72" t="str">
        <f>IF(OR(E34="",E34="TOTAL"),"",VLOOKUP(DATEVALUE(E34),AM34:$AR$66,2,0))</f>
        <v/>
      </c>
      <c r="AJ34" s="72" t="str">
        <f>IF(OR(E34="",E34="TOTAL"),"",VLOOKUP(DATEVALUE(E34),AM34:$AR$66,3,0))</f>
        <v/>
      </c>
      <c r="AK34" s="73" t="str">
        <f>IF(OR(E34="",E34="TOTAL"),"",VLOOKUP(DATEVALUE(E34),AM34:$AR$66,5,0))</f>
        <v/>
      </c>
      <c r="AL34" s="71"/>
      <c r="AM34" s="74">
        <v>44835</v>
      </c>
      <c r="AN34" s="64">
        <v>38</v>
      </c>
      <c r="AO34" s="64">
        <f t="shared" si="19"/>
        <v>9</v>
      </c>
      <c r="AP34" s="64"/>
      <c r="AQ34" s="65"/>
      <c r="AR34" s="75"/>
      <c r="AS34" s="66"/>
      <c r="AT34" s="76"/>
      <c r="AU34" s="66">
        <v>28</v>
      </c>
      <c r="AV34" s="76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</row>
    <row r="35" spans="1:61" s="34" customFormat="1" ht="25.5" customHeight="1" x14ac:dyDescent="0.25">
      <c r="A35" s="33"/>
      <c r="B35" s="27" t="str">
        <f t="shared" si="7"/>
        <v/>
      </c>
      <c r="C35" s="32" t="str">
        <f t="shared" si="20"/>
        <v/>
      </c>
      <c r="D35" s="32" t="str">
        <f t="shared" si="8"/>
        <v/>
      </c>
      <c r="E35" s="37" t="str">
        <f t="shared" si="21"/>
        <v/>
      </c>
      <c r="F35" s="29" t="str">
        <f>IF(E35="","",IF(C35="Jul",MROUND(F34*1.03,100),IF(E35="TOTAL",SUM($F$13:F34),F34)))</f>
        <v/>
      </c>
      <c r="G35" s="29" t="str">
        <f>IF(E35="","",IF(E35="TOTAL",SUM($G$13:G34),ROUND(F35*AI35/100,0)))</f>
        <v/>
      </c>
      <c r="H35" s="38" t="str">
        <f>IF(E35="","",IF(E35="TOTAL",SUM($H$13:H34),ROUND(F35*AJ35/100,0)))</f>
        <v/>
      </c>
      <c r="I35" s="38" t="str">
        <f>IF(E35="","",IF(E35="TOTAL",SUM($I$13:I34),0))</f>
        <v/>
      </c>
      <c r="J35" s="35" t="str">
        <f t="shared" si="9"/>
        <v/>
      </c>
      <c r="K35" s="38" t="str">
        <f>IF(E35="","",IF(C35="Jul",MROUND(K34*1.03,100),IF(E35="TOTAL",SUM($K$13:K34),K34)))</f>
        <v/>
      </c>
      <c r="L35" s="38" t="str">
        <f>IF(E35="","",IF(E35="TOTAL",SUM($L$13:L34),ROUND(K35*AI35/100,0)))</f>
        <v/>
      </c>
      <c r="M35" s="38" t="str">
        <f>IF(E35="","",IF(E35="TOTAL",SUM($M$13:M34),ROUND(K35*AJ35/100,0)))</f>
        <v/>
      </c>
      <c r="N35" s="38" t="str">
        <f>IF(E35="","",IF(E35="TOTAL",SUM($N$13:N34),0))</f>
        <v/>
      </c>
      <c r="O35" s="35" t="str">
        <f t="shared" si="15"/>
        <v/>
      </c>
      <c r="P35" s="29" t="str">
        <f t="shared" si="22"/>
        <v/>
      </c>
      <c r="Q35" s="29" t="str">
        <f t="shared" si="23"/>
        <v/>
      </c>
      <c r="R35" s="29" t="str">
        <f t="shared" si="24"/>
        <v/>
      </c>
      <c r="S35" s="29" t="str">
        <f t="shared" si="10"/>
        <v/>
      </c>
      <c r="T35" s="35" t="str">
        <f t="shared" si="11"/>
        <v/>
      </c>
      <c r="U35" s="39" t="str">
        <f>IF(E35="","",IF(E35="TOTAL",SUM($U$13:U34),ROUND(F35*AK35,0)))</f>
        <v/>
      </c>
      <c r="V35" s="39" t="str">
        <f>IF(E35="","",IF(E35="TOTAL",SUM($V$13:V34),ROUND(K35*AK35,0)))</f>
        <v/>
      </c>
      <c r="W35" s="30" t="str">
        <f t="shared" si="16"/>
        <v/>
      </c>
      <c r="X35" s="87" t="str">
        <f>IF(E35="","",IF(E35="TOTAL",SUM($X$13:X34),IF(F35&lt;18001,265,IF(F35&lt;33501,440,IF(F35&lt;54001,658,875)))))</f>
        <v/>
      </c>
      <c r="Y35" s="87" t="str">
        <f>IF(E35="","",IF(E35="TOTAL",SUM($Y$13:Y34),IF(K35&lt;18001,265,IF(K35&lt;33501,440,IF(K35&lt;54001,658,875)))))</f>
        <v/>
      </c>
      <c r="Z35" s="31" t="str">
        <f>IF(E35="","",IF(E35="TOTAL",SUM($Z$13:Z34),X35-Y35))</f>
        <v/>
      </c>
      <c r="AA35" s="39" t="str">
        <f>IF(E35="","",IF(E35="TOTAL",SUM($AA$13:AA34),0))</f>
        <v/>
      </c>
      <c r="AB35" s="30" t="str">
        <f>IF(E35="","",IF(E35="TOTAL",SUM($AB$13:AB34),ROUND(T35*$Z$5,0)))</f>
        <v/>
      </c>
      <c r="AC35" s="35" t="str">
        <f t="shared" si="17"/>
        <v/>
      </c>
      <c r="AD35" s="36" t="str">
        <f t="shared" si="13"/>
        <v/>
      </c>
      <c r="AE35" s="7"/>
      <c r="AF35" s="7"/>
      <c r="AG35" s="71" t="str">
        <f t="shared" si="18"/>
        <v/>
      </c>
      <c r="AH35" s="71"/>
      <c r="AI35" s="72" t="str">
        <f>IF(OR(E35="",E35="TOTAL"),"",VLOOKUP(DATEVALUE(E35),AM35:$AR$66,2,0))</f>
        <v/>
      </c>
      <c r="AJ35" s="72" t="str">
        <f>IF(OR(E35="",E35="TOTAL"),"",VLOOKUP(DATEVALUE(E35),AM35:$AR$66,3,0))</f>
        <v/>
      </c>
      <c r="AK35" s="73" t="str">
        <f>IF(OR(E35="",E35="TOTAL"),"",VLOOKUP(DATEVALUE(E35),AM35:$AR$66,5,0))</f>
        <v/>
      </c>
      <c r="AL35" s="71"/>
      <c r="AM35" s="74">
        <v>44866</v>
      </c>
      <c r="AN35" s="64">
        <v>38</v>
      </c>
      <c r="AO35" s="64">
        <f t="shared" si="19"/>
        <v>9</v>
      </c>
      <c r="AP35" s="64"/>
      <c r="AQ35" s="65"/>
      <c r="AR35" s="75"/>
      <c r="AS35" s="66"/>
      <c r="AT35" s="76"/>
      <c r="AU35" s="66">
        <v>29</v>
      </c>
      <c r="AV35" s="76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</row>
    <row r="36" spans="1:61" s="34" customFormat="1" ht="25.5" customHeight="1" x14ac:dyDescent="0.25">
      <c r="A36" s="33"/>
      <c r="B36" s="27" t="str">
        <f t="shared" si="7"/>
        <v/>
      </c>
      <c r="C36" s="32" t="str">
        <f t="shared" si="20"/>
        <v/>
      </c>
      <c r="D36" s="32" t="str">
        <f t="shared" si="8"/>
        <v/>
      </c>
      <c r="E36" s="37" t="str">
        <f t="shared" si="21"/>
        <v/>
      </c>
      <c r="F36" s="29" t="str">
        <f>IF(E36="","",IF(C36="Jul",MROUND(F35*1.03,100),IF(E36="TOTAL",SUM($F$13:F35),F35)))</f>
        <v/>
      </c>
      <c r="G36" s="29" t="str">
        <f>IF(E36="","",IF(E36="TOTAL",SUM($G$13:G35),ROUND(F36*AI36/100,0)))</f>
        <v/>
      </c>
      <c r="H36" s="38" t="str">
        <f>IF(E36="","",IF(E36="TOTAL",SUM($H$13:H35),ROUND(F36*AJ36/100,0)))</f>
        <v/>
      </c>
      <c r="I36" s="38" t="str">
        <f>IF(E36="","",IF(E36="TOTAL",SUM($I$13:I35),0))</f>
        <v/>
      </c>
      <c r="J36" s="35" t="str">
        <f t="shared" si="9"/>
        <v/>
      </c>
      <c r="K36" s="38" t="str">
        <f>IF(E36="","",IF(C36="Jul",MROUND(K35*1.03,100),IF(E36="TOTAL",SUM($K$13:K35),K35)))</f>
        <v/>
      </c>
      <c r="L36" s="38" t="str">
        <f>IF(E36="","",IF(E36="TOTAL",SUM($L$13:L35),ROUND(K36*AI36/100,0)))</f>
        <v/>
      </c>
      <c r="M36" s="38" t="str">
        <f>IF(E36="","",IF(E36="TOTAL",SUM($M$13:M35),ROUND(K36*AJ36/100,0)))</f>
        <v/>
      </c>
      <c r="N36" s="38" t="str">
        <f>IF(E36="","",IF(E36="TOTAL",SUM($N$13:N35),0))</f>
        <v/>
      </c>
      <c r="O36" s="35" t="str">
        <f t="shared" si="15"/>
        <v/>
      </c>
      <c r="P36" s="29" t="str">
        <f t="shared" si="22"/>
        <v/>
      </c>
      <c r="Q36" s="29" t="str">
        <f t="shared" si="23"/>
        <v/>
      </c>
      <c r="R36" s="29" t="str">
        <f t="shared" si="24"/>
        <v/>
      </c>
      <c r="S36" s="29" t="str">
        <f t="shared" si="10"/>
        <v/>
      </c>
      <c r="T36" s="35" t="str">
        <f t="shared" si="11"/>
        <v/>
      </c>
      <c r="U36" s="39" t="str">
        <f>IF(E36="","",IF(E36="TOTAL",SUM($U$13:U35),ROUND(F36*AK36,0)))</f>
        <v/>
      </c>
      <c r="V36" s="39" t="str">
        <f>IF(E36="","",IF(E36="TOTAL",SUM($V$13:V35),ROUND(K36*AK36,0)))</f>
        <v/>
      </c>
      <c r="W36" s="30" t="str">
        <f t="shared" si="16"/>
        <v/>
      </c>
      <c r="X36" s="87" t="str">
        <f>IF(E36="","",IF(E36="TOTAL",SUM($X$13:X35),IF(F36&lt;18001,265,IF(F36&lt;33501,440,IF(F36&lt;54001,658,875)))))</f>
        <v/>
      </c>
      <c r="Y36" s="87" t="str">
        <f>IF(E36="","",IF(E36="TOTAL",SUM($Y$13:Y35),IF(K36&lt;18001,265,IF(K36&lt;33501,440,IF(K36&lt;54001,658,875)))))</f>
        <v/>
      </c>
      <c r="Z36" s="31" t="str">
        <f>IF(E36="","",IF(E36="TOTAL",SUM($Z$13:Z35),X36-Y36))</f>
        <v/>
      </c>
      <c r="AA36" s="39" t="str">
        <f>IF(E36="","",IF(E36="TOTAL",SUM($AA$13:AA35),0))</f>
        <v/>
      </c>
      <c r="AB36" s="30" t="str">
        <f>IF(E36="","",IF(E36="TOTAL",SUM($AB$13:AB35),ROUND(T36*$Z$5,0)))</f>
        <v/>
      </c>
      <c r="AC36" s="35" t="str">
        <f t="shared" si="17"/>
        <v/>
      </c>
      <c r="AD36" s="36" t="str">
        <f t="shared" si="13"/>
        <v/>
      </c>
      <c r="AE36" s="7"/>
      <c r="AF36" s="7"/>
      <c r="AG36" s="71" t="str">
        <f t="shared" si="18"/>
        <v/>
      </c>
      <c r="AH36" s="71"/>
      <c r="AI36" s="72" t="str">
        <f>IF(OR(E36="",E36="TOTAL"),"",VLOOKUP(DATEVALUE(E36),AM36:$AR$66,2,0))</f>
        <v/>
      </c>
      <c r="AJ36" s="72" t="str">
        <f>IF(OR(E36="",E36="TOTAL"),"",VLOOKUP(DATEVALUE(E36),AM36:$AR$66,3,0))</f>
        <v/>
      </c>
      <c r="AK36" s="73" t="str">
        <f>IF(OR(E36="",E36="TOTAL"),"",VLOOKUP(DATEVALUE(E36),AM36:$AR$66,5,0))</f>
        <v/>
      </c>
      <c r="AL36" s="71"/>
      <c r="AM36" s="74">
        <v>44896</v>
      </c>
      <c r="AN36" s="64">
        <v>38</v>
      </c>
      <c r="AO36" s="64">
        <f t="shared" si="19"/>
        <v>9</v>
      </c>
      <c r="AP36" s="64"/>
      <c r="AQ36" s="65"/>
      <c r="AR36" s="75"/>
      <c r="AS36" s="66"/>
      <c r="AT36" s="76"/>
      <c r="AU36" s="66">
        <v>30</v>
      </c>
      <c r="AV36" s="76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</row>
    <row r="37" spans="1:61" s="34" customFormat="1" ht="25.5" customHeight="1" x14ac:dyDescent="0.25">
      <c r="A37" s="33"/>
      <c r="B37" s="27" t="str">
        <f t="shared" si="7"/>
        <v/>
      </c>
      <c r="C37" s="32" t="str">
        <f t="shared" si="20"/>
        <v/>
      </c>
      <c r="D37" s="32" t="str">
        <f t="shared" si="8"/>
        <v/>
      </c>
      <c r="E37" s="37" t="str">
        <f t="shared" si="21"/>
        <v/>
      </c>
      <c r="F37" s="29" t="str">
        <f>IF(E37="","",IF(C37="Jul",MROUND(F36*1.03,100),IF(E37="TOTAL",SUM($F$13:F36),F36)))</f>
        <v/>
      </c>
      <c r="G37" s="29" t="str">
        <f>IF(E37="","",IF(E37="TOTAL",SUM($G$13:G36),ROUND(F37*AI37/100,0)))</f>
        <v/>
      </c>
      <c r="H37" s="38" t="str">
        <f>IF(E37="","",IF(E37="TOTAL",SUM($H$13:H36),ROUND(F37*AJ37/100,0)))</f>
        <v/>
      </c>
      <c r="I37" s="38" t="str">
        <f>IF(E37="","",IF(E37="TOTAL",SUM($I$13:I36),0))</f>
        <v/>
      </c>
      <c r="J37" s="35" t="str">
        <f t="shared" si="9"/>
        <v/>
      </c>
      <c r="K37" s="38" t="str">
        <f>IF(E37="","",IF(C37="Jul",MROUND(K36*1.03,100),IF(E37="TOTAL",SUM($K$13:K36),K36)))</f>
        <v/>
      </c>
      <c r="L37" s="38" t="str">
        <f>IF(E37="","",IF(E37="TOTAL",SUM($L$13:L36),ROUND(K37*AI37/100,0)))</f>
        <v/>
      </c>
      <c r="M37" s="38" t="str">
        <f>IF(E37="","",IF(E37="TOTAL",SUM($M$13:M36),ROUND(K37*AJ37/100,0)))</f>
        <v/>
      </c>
      <c r="N37" s="38" t="str">
        <f>IF(E37="","",IF(E37="TOTAL",SUM($N$13:N36),0))</f>
        <v/>
      </c>
      <c r="O37" s="35" t="str">
        <f t="shared" si="15"/>
        <v/>
      </c>
      <c r="P37" s="29" t="str">
        <f t="shared" si="22"/>
        <v/>
      </c>
      <c r="Q37" s="29" t="str">
        <f t="shared" si="23"/>
        <v/>
      </c>
      <c r="R37" s="29" t="str">
        <f t="shared" si="24"/>
        <v/>
      </c>
      <c r="S37" s="29" t="str">
        <f t="shared" si="10"/>
        <v/>
      </c>
      <c r="T37" s="35" t="str">
        <f t="shared" si="11"/>
        <v/>
      </c>
      <c r="U37" s="39" t="str">
        <f>IF(E37="","",IF(E37="TOTAL",SUM($U$13:U36),ROUND(F37*AK37,0)))</f>
        <v/>
      </c>
      <c r="V37" s="39" t="str">
        <f>IF(E37="","",IF(E37="TOTAL",SUM($V$13:V36),ROUND(K37*AK37,0)))</f>
        <v/>
      </c>
      <c r="W37" s="30" t="str">
        <f t="shared" si="16"/>
        <v/>
      </c>
      <c r="X37" s="87" t="str">
        <f>IF(E37="","",IF(E37="TOTAL",SUM($X$13:X36),IF(F37&lt;18001,265,IF(F37&lt;33501,440,IF(F37&lt;54001,658,875)))))</f>
        <v/>
      </c>
      <c r="Y37" s="87" t="str">
        <f>IF(E37="","",IF(E37="TOTAL",SUM($Y$13:Y36),IF(K37&lt;18001,265,IF(K37&lt;33501,440,IF(K37&lt;54001,658,875)))))</f>
        <v/>
      </c>
      <c r="Z37" s="31" t="str">
        <f>IF(E37="","",IF(E37="TOTAL",SUM($Z$13:Z36),X37-Y37))</f>
        <v/>
      </c>
      <c r="AA37" s="39" t="str">
        <f>IF(E37="","",IF(E37="TOTAL",SUM($AA$13:AA36),0))</f>
        <v/>
      </c>
      <c r="AB37" s="30" t="str">
        <f>IF(E37="","",IF(E37="TOTAL",SUM($AB$13:AB36),ROUND(T37*$Z$5,0)))</f>
        <v/>
      </c>
      <c r="AC37" s="35" t="str">
        <f t="shared" si="17"/>
        <v/>
      </c>
      <c r="AD37" s="36" t="str">
        <f t="shared" si="13"/>
        <v/>
      </c>
      <c r="AE37" s="7"/>
      <c r="AF37" s="7"/>
      <c r="AG37" s="71" t="str">
        <f t="shared" si="18"/>
        <v/>
      </c>
      <c r="AH37" s="71"/>
      <c r="AI37" s="72" t="str">
        <f>IF(OR(E37="",E37="TOTAL"),"",VLOOKUP(DATEVALUE(E37),AM37:$AR$66,2,0))</f>
        <v/>
      </c>
      <c r="AJ37" s="72" t="str">
        <f>IF(OR(E37="",E37="TOTAL"),"",VLOOKUP(DATEVALUE(E37),AM37:$AR$66,3,0))</f>
        <v/>
      </c>
      <c r="AK37" s="73" t="str">
        <f>IF(OR(E37="",E37="TOTAL"),"",VLOOKUP(DATEVALUE(E37),AM37:$AR$66,5,0))</f>
        <v/>
      </c>
      <c r="AL37" s="71"/>
      <c r="AM37" s="74">
        <v>44927</v>
      </c>
      <c r="AN37" s="64">
        <v>42</v>
      </c>
      <c r="AO37" s="64">
        <f t="shared" si="19"/>
        <v>9</v>
      </c>
      <c r="AP37" s="64"/>
      <c r="AQ37" s="65">
        <v>0.04</v>
      </c>
      <c r="AR37" s="75"/>
      <c r="AS37" s="66"/>
      <c r="AT37" s="76"/>
      <c r="AU37" s="66">
        <v>31</v>
      </c>
      <c r="AV37" s="76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</row>
    <row r="38" spans="1:61" s="34" customFormat="1" ht="25.5" customHeight="1" x14ac:dyDescent="0.25">
      <c r="A38" s="33"/>
      <c r="B38" s="27" t="str">
        <f t="shared" si="7"/>
        <v/>
      </c>
      <c r="C38" s="32" t="str">
        <f t="shared" si="20"/>
        <v/>
      </c>
      <c r="D38" s="32" t="str">
        <f t="shared" si="8"/>
        <v/>
      </c>
      <c r="E38" s="37" t="str">
        <f t="shared" si="21"/>
        <v/>
      </c>
      <c r="F38" s="29" t="str">
        <f>IF(E38="","",IF(C38="Jul",MROUND(F37*1.03,100),IF(E38="TOTAL",SUM($F$13:F37),F37)))</f>
        <v/>
      </c>
      <c r="G38" s="29" t="str">
        <f>IF(E38="","",IF(E38="TOTAL",SUM($G$13:G37),ROUND(F38*AI38/100,0)))</f>
        <v/>
      </c>
      <c r="H38" s="38" t="str">
        <f>IF(E38="","",IF(E38="TOTAL",SUM($H$13:H37),ROUND(F38*AJ38/100,0)))</f>
        <v/>
      </c>
      <c r="I38" s="38" t="str">
        <f>IF(E38="","",IF(E38="TOTAL",SUM($I$13:I37),0))</f>
        <v/>
      </c>
      <c r="J38" s="35" t="str">
        <f t="shared" si="9"/>
        <v/>
      </c>
      <c r="K38" s="38" t="str">
        <f>IF(E38="","",IF(C38="Jul",MROUND(K37*1.03,100),IF(E38="TOTAL",SUM($K$13:K37),K37)))</f>
        <v/>
      </c>
      <c r="L38" s="38" t="str">
        <f>IF(E38="","",IF(E38="TOTAL",SUM($L$13:L37),ROUND(K38*AI38/100,0)))</f>
        <v/>
      </c>
      <c r="M38" s="38" t="str">
        <f>IF(E38="","",IF(E38="TOTAL",SUM($M$13:M37),ROUND(K38*AJ38/100,0)))</f>
        <v/>
      </c>
      <c r="N38" s="38" t="str">
        <f>IF(E38="","",IF(E38="TOTAL",SUM($N$13:N37),0))</f>
        <v/>
      </c>
      <c r="O38" s="35" t="str">
        <f t="shared" si="15"/>
        <v/>
      </c>
      <c r="P38" s="29" t="str">
        <f t="shared" si="22"/>
        <v/>
      </c>
      <c r="Q38" s="29" t="str">
        <f t="shared" si="23"/>
        <v/>
      </c>
      <c r="R38" s="29" t="str">
        <f t="shared" si="24"/>
        <v/>
      </c>
      <c r="S38" s="29" t="str">
        <f t="shared" si="10"/>
        <v/>
      </c>
      <c r="T38" s="35" t="str">
        <f t="shared" si="11"/>
        <v/>
      </c>
      <c r="U38" s="39" t="str">
        <f>IF(E38="","",IF(E38="TOTAL",SUM($U$13:U37),ROUND(F38*AK38,0)))</f>
        <v/>
      </c>
      <c r="V38" s="39" t="str">
        <f>IF(E38="","",IF(E38="TOTAL",SUM($V$13:V37),ROUND(K38*AK38,0)))</f>
        <v/>
      </c>
      <c r="W38" s="30" t="str">
        <f t="shared" si="16"/>
        <v/>
      </c>
      <c r="X38" s="87" t="str">
        <f>IF(E38="","",IF(E38="TOTAL",SUM($X$13:X37),IF(F38&lt;18001,265,IF(F38&lt;33501,440,IF(F38&lt;54001,658,875)))))</f>
        <v/>
      </c>
      <c r="Y38" s="87" t="str">
        <f>IF(E38="","",IF(E38="TOTAL",SUM($Y$13:Y37),IF(K38&lt;18001,265,IF(K38&lt;33501,440,IF(K38&lt;54001,658,875)))))</f>
        <v/>
      </c>
      <c r="Z38" s="31" t="str">
        <f>IF(E38="","",IF(E38="TOTAL",SUM($Z$13:Z37),X38-Y38))</f>
        <v/>
      </c>
      <c r="AA38" s="39" t="str">
        <f>IF(E38="","",IF(E38="TOTAL",SUM($AA$13:AA37),0))</f>
        <v/>
      </c>
      <c r="AB38" s="30" t="str">
        <f>IF(E38="","",IF(E38="TOTAL",SUM($AB$13:AB37),ROUND(T38*$Z$5,0)))</f>
        <v/>
      </c>
      <c r="AC38" s="35" t="str">
        <f t="shared" si="17"/>
        <v/>
      </c>
      <c r="AD38" s="36" t="str">
        <f t="shared" si="13"/>
        <v/>
      </c>
      <c r="AE38" s="7"/>
      <c r="AF38" s="7"/>
      <c r="AG38" s="71" t="str">
        <f t="shared" si="18"/>
        <v/>
      </c>
      <c r="AH38" s="71"/>
      <c r="AI38" s="72" t="str">
        <f>IF(OR(E38="",E38="TOTAL"),"",VLOOKUP(DATEVALUE(E38),AM38:$AR$66,2,0))</f>
        <v/>
      </c>
      <c r="AJ38" s="72" t="str">
        <f>IF(OR(E38="",E38="TOTAL"),"",VLOOKUP(DATEVALUE(E38),AM38:$AR$66,3,0))</f>
        <v/>
      </c>
      <c r="AK38" s="73" t="str">
        <f>IF(OR(E38="",E38="TOTAL"),"",VLOOKUP(DATEVALUE(E38),AM38:$AR$66,5,0))</f>
        <v/>
      </c>
      <c r="AL38" s="71"/>
      <c r="AM38" s="74">
        <v>44958</v>
      </c>
      <c r="AN38" s="64">
        <v>42</v>
      </c>
      <c r="AO38" s="64">
        <f t="shared" si="19"/>
        <v>9</v>
      </c>
      <c r="AP38" s="64"/>
      <c r="AQ38" s="65">
        <v>0.04</v>
      </c>
      <c r="AR38" s="75"/>
      <c r="AS38" s="78"/>
      <c r="AT38" s="78"/>
      <c r="AU38" s="78"/>
      <c r="AV38" s="78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</row>
    <row r="39" spans="1:61" s="34" customFormat="1" ht="25.5" customHeight="1" x14ac:dyDescent="0.25">
      <c r="A39" s="33"/>
      <c r="B39" s="27" t="str">
        <f t="shared" si="7"/>
        <v/>
      </c>
      <c r="C39" s="32" t="str">
        <f t="shared" si="20"/>
        <v/>
      </c>
      <c r="D39" s="32" t="str">
        <f t="shared" si="8"/>
        <v/>
      </c>
      <c r="E39" s="37" t="str">
        <f t="shared" si="21"/>
        <v/>
      </c>
      <c r="F39" s="29" t="str">
        <f>IF(E39="","",IF(C39="Jul",MROUND(F38*1.03,100),IF(E39="TOTAL",SUM($F$13:F38),F38)))</f>
        <v/>
      </c>
      <c r="G39" s="29" t="str">
        <f>IF(E39="","",IF(E39="TOTAL",SUM($G$13:G38),ROUND(F39*AI39/100,0)))</f>
        <v/>
      </c>
      <c r="H39" s="38" t="str">
        <f>IF(E39="","",IF(E39="TOTAL",SUM($H$13:H38),ROUND(F39*AJ39/100,0)))</f>
        <v/>
      </c>
      <c r="I39" s="38" t="str">
        <f>IF(E39="","",IF(E39="TOTAL",SUM($I$13:I38),0))</f>
        <v/>
      </c>
      <c r="J39" s="35" t="str">
        <f t="shared" si="9"/>
        <v/>
      </c>
      <c r="K39" s="38" t="str">
        <f>IF(E39="","",IF(C39="Jul",MROUND(K38*1.03,100),IF(E39="TOTAL",SUM($K$13:K38),K38)))</f>
        <v/>
      </c>
      <c r="L39" s="38" t="str">
        <f>IF(E39="","",IF(E39="TOTAL",SUM($L$13:L38),ROUND(K39*AI39/100,0)))</f>
        <v/>
      </c>
      <c r="M39" s="38" t="str">
        <f>IF(E39="","",IF(E39="TOTAL",SUM($M$13:M38),ROUND(K39*AJ39/100,0)))</f>
        <v/>
      </c>
      <c r="N39" s="38" t="str">
        <f>IF(E39="","",IF(E39="TOTAL",SUM($N$13:N38),0))</f>
        <v/>
      </c>
      <c r="O39" s="35" t="str">
        <f t="shared" si="15"/>
        <v/>
      </c>
      <c r="P39" s="29" t="str">
        <f t="shared" si="22"/>
        <v/>
      </c>
      <c r="Q39" s="29" t="str">
        <f t="shared" si="23"/>
        <v/>
      </c>
      <c r="R39" s="29" t="str">
        <f t="shared" si="24"/>
        <v/>
      </c>
      <c r="S39" s="29" t="str">
        <f t="shared" si="10"/>
        <v/>
      </c>
      <c r="T39" s="35" t="str">
        <f t="shared" si="11"/>
        <v/>
      </c>
      <c r="U39" s="39" t="str">
        <f>IF(E39="","",IF(E39="TOTAL",SUM($U$13:U38),ROUND(F39*AK39,0)))</f>
        <v/>
      </c>
      <c r="V39" s="39" t="str">
        <f>IF(E39="","",IF(E39="TOTAL",SUM($V$13:V38),ROUND(K39*AK39,0)))</f>
        <v/>
      </c>
      <c r="W39" s="30" t="str">
        <f t="shared" si="16"/>
        <v/>
      </c>
      <c r="X39" s="87" t="str">
        <f>IF(E39="","",IF(E39="TOTAL",SUM($X$13:X38),IF(F39&lt;18001,265,IF(F39&lt;33501,440,IF(F39&lt;54001,658,875)))))</f>
        <v/>
      </c>
      <c r="Y39" s="87" t="str">
        <f>IF(E39="","",IF(E39="TOTAL",SUM($Y$13:Y38),IF(K39&lt;18001,265,IF(K39&lt;33501,440,IF(K39&lt;54001,658,875)))))</f>
        <v/>
      </c>
      <c r="Z39" s="31" t="str">
        <f>IF(E39="","",IF(E39="TOTAL",SUM($Z$13:Z38),X39-Y39))</f>
        <v/>
      </c>
      <c r="AA39" s="39" t="str">
        <f>IF(E39="","",IF(E39="TOTAL",SUM($AA$13:AA38),0))</f>
        <v/>
      </c>
      <c r="AB39" s="30" t="str">
        <f>IF(E39="","",IF(E39="TOTAL",SUM($AB$13:AB38),ROUND(T39*$Z$5,0)))</f>
        <v/>
      </c>
      <c r="AC39" s="35" t="str">
        <f t="shared" si="17"/>
        <v/>
      </c>
      <c r="AD39" s="36" t="str">
        <f t="shared" si="13"/>
        <v/>
      </c>
      <c r="AE39" s="7"/>
      <c r="AF39" s="7"/>
      <c r="AG39" s="71" t="str">
        <f t="shared" si="18"/>
        <v/>
      </c>
      <c r="AH39" s="71"/>
      <c r="AI39" s="72" t="str">
        <f>IF(OR(E39="",E39="TOTAL"),"",VLOOKUP(DATEVALUE(E39),AM39:$AR$66,2,0))</f>
        <v/>
      </c>
      <c r="AJ39" s="72" t="str">
        <f>IF(OR(E39="",E39="TOTAL"),"",VLOOKUP(DATEVALUE(E39),AM39:$AR$66,3,0))</f>
        <v/>
      </c>
      <c r="AK39" s="73" t="str">
        <f>IF(OR(E39="",E39="TOTAL"),"",VLOOKUP(DATEVALUE(E39),AM39:$AR$66,5,0))</f>
        <v/>
      </c>
      <c r="AL39" s="71"/>
      <c r="AM39" s="74">
        <v>44986</v>
      </c>
      <c r="AN39" s="64">
        <v>42</v>
      </c>
      <c r="AO39" s="64">
        <f t="shared" si="19"/>
        <v>9</v>
      </c>
      <c r="AP39" s="64"/>
      <c r="AQ39" s="65">
        <v>0.04</v>
      </c>
      <c r="AR39" s="75"/>
      <c r="AS39" s="78"/>
      <c r="AT39" s="78"/>
      <c r="AU39" s="78"/>
      <c r="AV39" s="78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</row>
    <row r="40" spans="1:61" s="34" customFormat="1" ht="25.5" customHeight="1" x14ac:dyDescent="0.25">
      <c r="A40" s="33"/>
      <c r="B40" s="27" t="str">
        <f t="shared" si="7"/>
        <v/>
      </c>
      <c r="C40" s="32" t="str">
        <f t="shared" si="20"/>
        <v/>
      </c>
      <c r="D40" s="32" t="str">
        <f t="shared" si="8"/>
        <v/>
      </c>
      <c r="E40" s="37" t="str">
        <f t="shared" si="21"/>
        <v/>
      </c>
      <c r="F40" s="29" t="str">
        <f>IF(E40="","",IF(C40="Jul",MROUND(F39*1.03,100),IF(E40="TOTAL",SUM($F$13:F39),F39)))</f>
        <v/>
      </c>
      <c r="G40" s="29" t="str">
        <f>IF(E40="","",IF(E40="TOTAL",SUM($G$13:G39),ROUND(F40*AI40/100,0)))</f>
        <v/>
      </c>
      <c r="H40" s="38" t="str">
        <f>IF(E40="","",IF(E40="TOTAL",SUM($H$13:H39),ROUND(F40*AJ40/100,0)))</f>
        <v/>
      </c>
      <c r="I40" s="38" t="str">
        <f>IF(E40="","",IF(E40="TOTAL",SUM($I$13:I39),0))</f>
        <v/>
      </c>
      <c r="J40" s="35" t="str">
        <f t="shared" si="9"/>
        <v/>
      </c>
      <c r="K40" s="38" t="str">
        <f>IF(E40="","",IF(C40="Jul",MROUND(K39*1.03,100),IF(E40="TOTAL",SUM($K$13:K39),K39)))</f>
        <v/>
      </c>
      <c r="L40" s="38" t="str">
        <f>IF(E40="","",IF(E40="TOTAL",SUM($L$13:L39),ROUND(K40*AI40/100,0)))</f>
        <v/>
      </c>
      <c r="M40" s="38" t="str">
        <f>IF(E40="","",IF(E40="TOTAL",SUM($M$13:M39),ROUND(K40*AJ40/100,0)))</f>
        <v/>
      </c>
      <c r="N40" s="38" t="str">
        <f>IF(E40="","",IF(E40="TOTAL",SUM($N$13:N39),0))</f>
        <v/>
      </c>
      <c r="O40" s="35" t="str">
        <f t="shared" si="15"/>
        <v/>
      </c>
      <c r="P40" s="29" t="str">
        <f t="shared" si="22"/>
        <v/>
      </c>
      <c r="Q40" s="29" t="str">
        <f t="shared" si="23"/>
        <v/>
      </c>
      <c r="R40" s="29" t="str">
        <f t="shared" si="24"/>
        <v/>
      </c>
      <c r="S40" s="29" t="str">
        <f t="shared" si="10"/>
        <v/>
      </c>
      <c r="T40" s="35" t="str">
        <f t="shared" si="11"/>
        <v/>
      </c>
      <c r="U40" s="39" t="str">
        <f>IF(E40="","",IF(E40="TOTAL",SUM($U$13:U39),ROUND(F40*AK40,0)))</f>
        <v/>
      </c>
      <c r="V40" s="39" t="str">
        <f>IF(E40="","",IF(E40="TOTAL",SUM($V$13:V39),ROUND(K40*AK40,0)))</f>
        <v/>
      </c>
      <c r="W40" s="30" t="str">
        <f t="shared" si="16"/>
        <v/>
      </c>
      <c r="X40" s="87" t="str">
        <f>IF(E40="","",IF(E40="TOTAL",SUM($X$13:X39),IF(F40&lt;18001,265,IF(F40&lt;33501,440,IF(F40&lt;54001,658,875)))))</f>
        <v/>
      </c>
      <c r="Y40" s="87" t="str">
        <f>IF(E40="","",IF(E40="TOTAL",SUM($Y$13:Y39),IF(K40&lt;18001,265,IF(K40&lt;33501,440,IF(K40&lt;54001,658,875)))))</f>
        <v/>
      </c>
      <c r="Z40" s="31" t="str">
        <f>IF(E40="","",IF(E40="TOTAL",SUM($Z$13:Z39),X40-Y40))</f>
        <v/>
      </c>
      <c r="AA40" s="39" t="str">
        <f>IF(E40="","",IF(E40="TOTAL",SUM($AA$13:AA39),0))</f>
        <v/>
      </c>
      <c r="AB40" s="30" t="str">
        <f>IF(E40="","",IF(E40="TOTAL",SUM($AB$13:AB39),ROUND(T40*$Z$5,0)))</f>
        <v/>
      </c>
      <c r="AC40" s="35" t="str">
        <f t="shared" si="17"/>
        <v/>
      </c>
      <c r="AD40" s="36" t="str">
        <f t="shared" si="13"/>
        <v/>
      </c>
      <c r="AE40" s="7"/>
      <c r="AF40" s="7"/>
      <c r="AG40" s="71" t="str">
        <f t="shared" si="18"/>
        <v/>
      </c>
      <c r="AH40" s="71"/>
      <c r="AI40" s="72" t="str">
        <f>IF(OR(E40="",E40="TOTAL"),"",VLOOKUP(DATEVALUE(E40),AM40:$AR$66,2,0))</f>
        <v/>
      </c>
      <c r="AJ40" s="72" t="str">
        <f>IF(OR(E40="",E40="TOTAL"),"",VLOOKUP(DATEVALUE(E40),AM40:$AR$66,3,0))</f>
        <v/>
      </c>
      <c r="AK40" s="73" t="str">
        <f>IF(OR(E40="",E40="TOTAL"),"",VLOOKUP(DATEVALUE(E40),AM40:$AR$66,5,0))</f>
        <v/>
      </c>
      <c r="AL40" s="71"/>
      <c r="AM40" s="74">
        <v>45017</v>
      </c>
      <c r="AN40" s="64">
        <v>42</v>
      </c>
      <c r="AO40" s="64">
        <f t="shared" si="19"/>
        <v>9</v>
      </c>
      <c r="AP40" s="64"/>
      <c r="AQ40" s="65"/>
      <c r="AR40" s="75"/>
      <c r="AS40" s="78"/>
      <c r="AT40" s="78"/>
      <c r="AU40" s="78"/>
      <c r="AV40" s="78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</row>
    <row r="41" spans="1:61" s="34" customFormat="1" ht="25.5" customHeight="1" x14ac:dyDescent="0.25">
      <c r="A41" s="33"/>
      <c r="B41" s="27" t="str">
        <f t="shared" si="7"/>
        <v/>
      </c>
      <c r="C41" s="32" t="str">
        <f t="shared" si="20"/>
        <v/>
      </c>
      <c r="D41" s="32" t="str">
        <f t="shared" si="8"/>
        <v/>
      </c>
      <c r="E41" s="37" t="str">
        <f t="shared" si="21"/>
        <v/>
      </c>
      <c r="F41" s="29" t="str">
        <f>IF(E41="","",IF(C41="Jul",MROUND(F40*1.03,100),IF(E41="TOTAL",SUM($F$13:F40),F40)))</f>
        <v/>
      </c>
      <c r="G41" s="29" t="str">
        <f>IF(E41="","",IF(E41="TOTAL",SUM($G$13:G40),ROUND(F41*AI41/100,0)))</f>
        <v/>
      </c>
      <c r="H41" s="38" t="str">
        <f>IF(E41="","",IF(E41="TOTAL",SUM($H$13:H40),ROUND(F41*AJ41/100,0)))</f>
        <v/>
      </c>
      <c r="I41" s="38" t="str">
        <f>IF(E41="","",IF(E41="TOTAL",SUM($I$13:I40),0))</f>
        <v/>
      </c>
      <c r="J41" s="35" t="str">
        <f t="shared" si="9"/>
        <v/>
      </c>
      <c r="K41" s="38" t="str">
        <f>IF(E41="","",IF(C41="Jul",MROUND(K40*1.03,100),IF(E41="TOTAL",SUM($K$13:K40),K40)))</f>
        <v/>
      </c>
      <c r="L41" s="38" t="str">
        <f>IF(E41="","",IF(E41="TOTAL",SUM($L$13:L40),ROUND(K41*AI41/100,0)))</f>
        <v/>
      </c>
      <c r="M41" s="38" t="str">
        <f>IF(E41="","",IF(E41="TOTAL",SUM($M$13:M40),ROUND(K41*AJ41/100,0)))</f>
        <v/>
      </c>
      <c r="N41" s="38" t="str">
        <f>IF(E41="","",IF(E41="TOTAL",SUM($N$13:N40),0))</f>
        <v/>
      </c>
      <c r="O41" s="35" t="str">
        <f t="shared" si="15"/>
        <v/>
      </c>
      <c r="P41" s="29" t="str">
        <f t="shared" si="22"/>
        <v/>
      </c>
      <c r="Q41" s="29" t="str">
        <f t="shared" si="23"/>
        <v/>
      </c>
      <c r="R41" s="29" t="str">
        <f t="shared" si="24"/>
        <v/>
      </c>
      <c r="S41" s="29" t="str">
        <f t="shared" si="10"/>
        <v/>
      </c>
      <c r="T41" s="35" t="str">
        <f t="shared" si="11"/>
        <v/>
      </c>
      <c r="U41" s="39" t="str">
        <f>IF(E41="","",IF(E41="TOTAL",SUM($U$13:U40),ROUND(F41*AK41,0)))</f>
        <v/>
      </c>
      <c r="V41" s="39" t="str">
        <f>IF(E41="","",IF(E41="TOTAL",SUM($V$13:V40),ROUND(K41*AK41,0)))</f>
        <v/>
      </c>
      <c r="W41" s="30" t="str">
        <f t="shared" si="16"/>
        <v/>
      </c>
      <c r="X41" s="87" t="str">
        <f>IF(E41="","",IF(E41="TOTAL",SUM($X$13:X40),IF(F41&lt;18001,265,IF(F41&lt;33501,440,IF(F41&lt;54001,658,875)))))</f>
        <v/>
      </c>
      <c r="Y41" s="87" t="str">
        <f>IF(E41="","",IF(E41="TOTAL",SUM($Y$13:Y40),IF(K41&lt;18001,265,IF(K41&lt;33501,440,IF(K41&lt;54001,658,875)))))</f>
        <v/>
      </c>
      <c r="Z41" s="31" t="str">
        <f>IF(E41="","",IF(E41="TOTAL",SUM($Z$13:Z40),X41-Y41))</f>
        <v/>
      </c>
      <c r="AA41" s="39" t="str">
        <f>IF(E41="","",IF(E41="TOTAL",SUM($AA$13:AA40),0))</f>
        <v/>
      </c>
      <c r="AB41" s="30" t="str">
        <f>IF(E41="","",IF(E41="TOTAL",SUM($AB$13:AB40),ROUND(T41*$Z$5,0)))</f>
        <v/>
      </c>
      <c r="AC41" s="35" t="str">
        <f t="shared" si="17"/>
        <v/>
      </c>
      <c r="AD41" s="36" t="str">
        <f t="shared" si="13"/>
        <v/>
      </c>
      <c r="AE41" s="7"/>
      <c r="AF41" s="7"/>
      <c r="AG41" s="71" t="str">
        <f t="shared" si="18"/>
        <v/>
      </c>
      <c r="AH41" s="71"/>
      <c r="AI41" s="72" t="str">
        <f>IF(OR(E41="",E41="TOTAL"),"",VLOOKUP(DATEVALUE(E41),AM41:$AR$66,2,0))</f>
        <v/>
      </c>
      <c r="AJ41" s="72" t="str">
        <f>IF(OR(E41="",E41="TOTAL"),"",VLOOKUP(DATEVALUE(E41),AM41:$AR$66,3,0))</f>
        <v/>
      </c>
      <c r="AK41" s="73" t="str">
        <f>IF(OR(E41="",E41="TOTAL"),"",VLOOKUP(DATEVALUE(E41),AM41:$AR$66,5,0))</f>
        <v/>
      </c>
      <c r="AL41" s="71"/>
      <c r="AM41" s="74">
        <v>45047</v>
      </c>
      <c r="AN41" s="64">
        <v>42</v>
      </c>
      <c r="AO41" s="64">
        <f t="shared" si="19"/>
        <v>9</v>
      </c>
      <c r="AP41" s="64"/>
      <c r="AQ41" s="65"/>
      <c r="AR41" s="75"/>
      <c r="AS41" s="78"/>
      <c r="AT41" s="78"/>
      <c r="AU41" s="78"/>
      <c r="AV41" s="78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</row>
    <row r="42" spans="1:61" s="34" customFormat="1" ht="25.5" customHeight="1" x14ac:dyDescent="0.25">
      <c r="A42" s="33"/>
      <c r="B42" s="27" t="str">
        <f t="shared" si="7"/>
        <v/>
      </c>
      <c r="C42" s="32" t="str">
        <f t="shared" si="20"/>
        <v/>
      </c>
      <c r="D42" s="32" t="str">
        <f t="shared" si="8"/>
        <v/>
      </c>
      <c r="E42" s="37" t="str">
        <f t="shared" si="21"/>
        <v/>
      </c>
      <c r="F42" s="29" t="str">
        <f>IF(E42="","",IF(C42="Jul",MROUND(F41*1.03,100),IF(E42="TOTAL",SUM($F$13:F41),F41)))</f>
        <v/>
      </c>
      <c r="G42" s="29" t="str">
        <f>IF(E42="","",IF(E42="TOTAL",SUM($G$13:G41),ROUND(F42*AI42/100,0)))</f>
        <v/>
      </c>
      <c r="H42" s="38" t="str">
        <f>IF(E42="","",IF(E42="TOTAL",SUM($H$13:H41),ROUND(F42*AJ42/100,0)))</f>
        <v/>
      </c>
      <c r="I42" s="38" t="str">
        <f>IF(E42="","",IF(E42="TOTAL",SUM($I$13:I41),0))</f>
        <v/>
      </c>
      <c r="J42" s="35" t="str">
        <f t="shared" si="9"/>
        <v/>
      </c>
      <c r="K42" s="38" t="str">
        <f>IF(E42="","",IF(C42="Jul",MROUND(K41*1.03,100),IF(E42="TOTAL",SUM($K$13:K41),K41)))</f>
        <v/>
      </c>
      <c r="L42" s="38" t="str">
        <f>IF(E42="","",IF(E42="TOTAL",SUM($L$13:L41),ROUND(K42*AI42/100,0)))</f>
        <v/>
      </c>
      <c r="M42" s="38" t="str">
        <f>IF(E42="","",IF(E42="TOTAL",SUM($M$13:M41),ROUND(K42*AJ42/100,0)))</f>
        <v/>
      </c>
      <c r="N42" s="38" t="str">
        <f>IF(E42="","",IF(E42="TOTAL",SUM($N$13:N41),0))</f>
        <v/>
      </c>
      <c r="O42" s="35" t="str">
        <f t="shared" si="15"/>
        <v/>
      </c>
      <c r="P42" s="29" t="str">
        <f t="shared" si="22"/>
        <v/>
      </c>
      <c r="Q42" s="29" t="str">
        <f t="shared" si="23"/>
        <v/>
      </c>
      <c r="R42" s="29" t="str">
        <f t="shared" si="24"/>
        <v/>
      </c>
      <c r="S42" s="29" t="str">
        <f t="shared" si="10"/>
        <v/>
      </c>
      <c r="T42" s="35" t="str">
        <f t="shared" si="11"/>
        <v/>
      </c>
      <c r="U42" s="39" t="str">
        <f>IF(E42="","",IF(E42="TOTAL",SUM($U$13:U41),ROUND(F42*AK42,0)))</f>
        <v/>
      </c>
      <c r="V42" s="39" t="str">
        <f>IF(E42="","",IF(E42="TOTAL",SUM($V$13:V41),ROUND(K42*AK42,0)))</f>
        <v/>
      </c>
      <c r="W42" s="30" t="str">
        <f t="shared" si="16"/>
        <v/>
      </c>
      <c r="X42" s="87" t="str">
        <f>IF(E42="","",IF(E42="TOTAL",SUM($X$13:X41),IF(F42&lt;18001,265,IF(F42&lt;33501,440,IF(F42&lt;54001,658,875)))))</f>
        <v/>
      </c>
      <c r="Y42" s="87" t="str">
        <f>IF(E42="","",IF(E42="TOTAL",SUM($Y$13:Y41),IF(K42&lt;18001,265,IF(K42&lt;33501,440,IF(K42&lt;54001,658,875)))))</f>
        <v/>
      </c>
      <c r="Z42" s="31" t="str">
        <f>IF(E42="","",IF(E42="TOTAL",SUM($Z$13:Z41),X42-Y42))</f>
        <v/>
      </c>
      <c r="AA42" s="39" t="str">
        <f>IF(E42="","",IF(E42="TOTAL",SUM($AA$13:AA41),0))</f>
        <v/>
      </c>
      <c r="AB42" s="30" t="str">
        <f>IF(E42="","",IF(E42="TOTAL",SUM($AB$13:AB41),ROUND(T42*$Z$5,0)))</f>
        <v/>
      </c>
      <c r="AC42" s="35" t="str">
        <f t="shared" si="17"/>
        <v/>
      </c>
      <c r="AD42" s="36" t="str">
        <f t="shared" si="13"/>
        <v/>
      </c>
      <c r="AE42" s="7"/>
      <c r="AF42" s="7"/>
      <c r="AG42" s="71" t="str">
        <f t="shared" si="18"/>
        <v/>
      </c>
      <c r="AH42" s="71"/>
      <c r="AI42" s="72" t="str">
        <f>IF(OR(E42="",E42="TOTAL"),"",VLOOKUP(DATEVALUE(E42),AM42:$AR$66,2,0))</f>
        <v/>
      </c>
      <c r="AJ42" s="72" t="str">
        <f>IF(OR(E42="",E42="TOTAL"),"",VLOOKUP(DATEVALUE(E42),AM42:$AR$66,3,0))</f>
        <v/>
      </c>
      <c r="AK42" s="73" t="str">
        <f>IF(OR(E42="",E42="TOTAL"),"",VLOOKUP(DATEVALUE(E42),AM42:$AR$66,5,0))</f>
        <v/>
      </c>
      <c r="AL42" s="71"/>
      <c r="AM42" s="74">
        <v>45078</v>
      </c>
      <c r="AN42" s="64">
        <v>42</v>
      </c>
      <c r="AO42" s="64">
        <f t="shared" si="19"/>
        <v>9</v>
      </c>
      <c r="AP42" s="64"/>
      <c r="AQ42" s="65"/>
      <c r="AR42" s="75"/>
      <c r="AS42" s="78"/>
      <c r="AT42" s="78"/>
      <c r="AU42" s="78"/>
      <c r="AV42" s="78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</row>
    <row r="43" spans="1:61" s="34" customFormat="1" ht="25.5" customHeight="1" x14ac:dyDescent="0.25">
      <c r="A43" s="33"/>
      <c r="B43" s="27" t="str">
        <f t="shared" si="7"/>
        <v/>
      </c>
      <c r="C43" s="32" t="str">
        <f t="shared" si="20"/>
        <v/>
      </c>
      <c r="D43" s="32" t="str">
        <f t="shared" si="8"/>
        <v/>
      </c>
      <c r="E43" s="37" t="str">
        <f t="shared" si="21"/>
        <v/>
      </c>
      <c r="F43" s="29" t="str">
        <f>IF(E43="","",IF(C43="Jul",MROUND(F42*1.03,100),IF(E43="TOTAL",SUM($F$13:F42),F42)))</f>
        <v/>
      </c>
      <c r="G43" s="29" t="str">
        <f>IF(E43="","",IF(E43="TOTAL",SUM($G$13:G42),ROUND(F43*AI43/100,0)))</f>
        <v/>
      </c>
      <c r="H43" s="38" t="str">
        <f>IF(E43="","",IF(E43="TOTAL",SUM($H$13:H42),ROUND(F43*AJ43/100,0)))</f>
        <v/>
      </c>
      <c r="I43" s="38" t="str">
        <f>IF(E43="","",IF(E43="TOTAL",SUM($I$13:I42),0))</f>
        <v/>
      </c>
      <c r="J43" s="35" t="str">
        <f t="shared" si="9"/>
        <v/>
      </c>
      <c r="K43" s="38" t="str">
        <f>IF(E43="","",IF(C43="Jul",MROUND(K42*1.03,100),IF(E43="TOTAL",SUM($K$13:K42),K42)))</f>
        <v/>
      </c>
      <c r="L43" s="38" t="str">
        <f>IF(E43="","",IF(E43="TOTAL",SUM($L$13:L42),ROUND(K43*AI43/100,0)))</f>
        <v/>
      </c>
      <c r="M43" s="38" t="str">
        <f>IF(E43="","",IF(E43="TOTAL",SUM($M$13:M42),ROUND(K43*AJ43/100,0)))</f>
        <v/>
      </c>
      <c r="N43" s="38" t="str">
        <f>IF(E43="","",IF(E43="TOTAL",SUM($N$13:N42),0))</f>
        <v/>
      </c>
      <c r="O43" s="35" t="str">
        <f t="shared" si="15"/>
        <v/>
      </c>
      <c r="P43" s="29" t="str">
        <f t="shared" si="22"/>
        <v/>
      </c>
      <c r="Q43" s="29" t="str">
        <f t="shared" si="23"/>
        <v/>
      </c>
      <c r="R43" s="29" t="str">
        <f t="shared" si="24"/>
        <v/>
      </c>
      <c r="S43" s="29" t="str">
        <f t="shared" si="10"/>
        <v/>
      </c>
      <c r="T43" s="35" t="str">
        <f t="shared" si="11"/>
        <v/>
      </c>
      <c r="U43" s="39" t="str">
        <f>IF(E43="","",IF(E43="TOTAL",SUM($U$13:U42),ROUND(F43*AK43,0)))</f>
        <v/>
      </c>
      <c r="V43" s="39" t="str">
        <f>IF(E43="","",IF(E43="TOTAL",SUM($V$13:V42),ROUND(K43*AK43,0)))</f>
        <v/>
      </c>
      <c r="W43" s="30" t="str">
        <f t="shared" si="16"/>
        <v/>
      </c>
      <c r="X43" s="87" t="str">
        <f>IF(E43="","",IF(E43="TOTAL",SUM($X$13:X42),IF(F43&lt;18001,265,IF(F43&lt;33501,440,IF(F43&lt;54001,658,875)))))</f>
        <v/>
      </c>
      <c r="Y43" s="87" t="str">
        <f>IF(E43="","",IF(E43="TOTAL",SUM($Y$13:Y42),IF(K43&lt;18001,265,IF(K43&lt;33501,440,IF(K43&lt;54001,658,875)))))</f>
        <v/>
      </c>
      <c r="Z43" s="31" t="str">
        <f>IF(E43="","",IF(E43="TOTAL",SUM($Z$13:Z42),X43-Y43))</f>
        <v/>
      </c>
      <c r="AA43" s="39" t="str">
        <f>IF(E43="","",IF(E43="TOTAL",SUM($AA$13:AA42),0))</f>
        <v/>
      </c>
      <c r="AB43" s="30" t="str">
        <f>IF(E43="","",IF(E43="TOTAL",SUM($AB$13:AB42),ROUND(T43*$Z$5,0)))</f>
        <v/>
      </c>
      <c r="AC43" s="35" t="str">
        <f t="shared" si="17"/>
        <v/>
      </c>
      <c r="AD43" s="36" t="str">
        <f t="shared" si="13"/>
        <v/>
      </c>
      <c r="AE43" s="7"/>
      <c r="AF43" s="7"/>
      <c r="AG43" s="71" t="str">
        <f t="shared" si="18"/>
        <v/>
      </c>
      <c r="AH43" s="71"/>
      <c r="AI43" s="72" t="str">
        <f>IF(OR(E43="",E43="TOTAL"),"",VLOOKUP(DATEVALUE(E43),AM43:$AR$66,2,0))</f>
        <v/>
      </c>
      <c r="AJ43" s="72" t="str">
        <f>IF(OR(E43="",E43="TOTAL"),"",VLOOKUP(DATEVALUE(E43),AM43:$AR$66,3,0))</f>
        <v/>
      </c>
      <c r="AK43" s="73" t="str">
        <f>IF(OR(E43="",E43="TOTAL"),"",VLOOKUP(DATEVALUE(E43),AM43:$AR$66,5,0))</f>
        <v/>
      </c>
      <c r="AL43" s="71"/>
      <c r="AM43" s="74">
        <v>45108</v>
      </c>
      <c r="AN43" s="64">
        <v>46</v>
      </c>
      <c r="AO43" s="64">
        <f t="shared" si="19"/>
        <v>9</v>
      </c>
      <c r="AP43" s="64"/>
      <c r="AQ43" s="65">
        <v>0.04</v>
      </c>
      <c r="AR43" s="75"/>
      <c r="AS43" s="78"/>
      <c r="AT43" s="78"/>
      <c r="AU43" s="78"/>
      <c r="AV43" s="78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</row>
    <row r="44" spans="1:61" s="34" customFormat="1" ht="25.5" customHeight="1" x14ac:dyDescent="0.25">
      <c r="A44" s="33"/>
      <c r="B44" s="27" t="str">
        <f t="shared" si="7"/>
        <v/>
      </c>
      <c r="C44" s="32" t="str">
        <f t="shared" si="20"/>
        <v/>
      </c>
      <c r="D44" s="32" t="str">
        <f t="shared" si="8"/>
        <v/>
      </c>
      <c r="E44" s="37" t="str">
        <f t="shared" si="21"/>
        <v/>
      </c>
      <c r="F44" s="29" t="str">
        <f>IF(E44="","",IF(C44="Jul",MROUND(F43*1.03,100),IF(E44="TOTAL",SUM($F$13:F43),F43)))</f>
        <v/>
      </c>
      <c r="G44" s="29" t="str">
        <f>IF(E44="","",IF(E44="TOTAL",SUM($G$13:G43),ROUND(F44*AI44/100,0)))</f>
        <v/>
      </c>
      <c r="H44" s="38" t="str">
        <f>IF(E44="","",IF(E44="TOTAL",SUM($H$13:H43),ROUND(F44*AJ44/100,0)))</f>
        <v/>
      </c>
      <c r="I44" s="38" t="str">
        <f>IF(E44="","",IF(E44="TOTAL",SUM($I$13:I43),0))</f>
        <v/>
      </c>
      <c r="J44" s="35" t="str">
        <f t="shared" si="9"/>
        <v/>
      </c>
      <c r="K44" s="38" t="str">
        <f>IF(E44="","",IF(C44="Jul",MROUND(K43*1.03,100),IF(E44="TOTAL",SUM($K$13:K43),K43)))</f>
        <v/>
      </c>
      <c r="L44" s="38" t="str">
        <f>IF(E44="","",IF(E44="TOTAL",SUM($L$13:L43),ROUND(K44*AI44/100,0)))</f>
        <v/>
      </c>
      <c r="M44" s="38" t="str">
        <f>IF(E44="","",IF(E44="TOTAL",SUM($M$13:M43),ROUND(K44*AJ44/100,0)))</f>
        <v/>
      </c>
      <c r="N44" s="38" t="str">
        <f>IF(E44="","",IF(E44="TOTAL",SUM($N$13:N43),0))</f>
        <v/>
      </c>
      <c r="O44" s="35" t="str">
        <f t="shared" si="15"/>
        <v/>
      </c>
      <c r="P44" s="29" t="str">
        <f t="shared" si="22"/>
        <v/>
      </c>
      <c r="Q44" s="29" t="str">
        <f t="shared" si="23"/>
        <v/>
      </c>
      <c r="R44" s="29" t="str">
        <f t="shared" si="24"/>
        <v/>
      </c>
      <c r="S44" s="29" t="str">
        <f t="shared" si="10"/>
        <v/>
      </c>
      <c r="T44" s="35" t="str">
        <f t="shared" si="11"/>
        <v/>
      </c>
      <c r="U44" s="39" t="str">
        <f>IF(E44="","",IF(E44="TOTAL",SUM($U$13:U43),ROUND(F44*AK44,0)))</f>
        <v/>
      </c>
      <c r="V44" s="39" t="str">
        <f>IF(E44="","",IF(E44="TOTAL",SUM($V$13:V43),ROUND(K44*AK44,0)))</f>
        <v/>
      </c>
      <c r="W44" s="30" t="str">
        <f t="shared" si="16"/>
        <v/>
      </c>
      <c r="X44" s="87" t="str">
        <f>IF(E44="","",IF(E44="TOTAL",SUM($X$13:X43),IF(F44&lt;18001,265,IF(F44&lt;33501,440,IF(F44&lt;54001,658,875)))))</f>
        <v/>
      </c>
      <c r="Y44" s="87" t="str">
        <f>IF(E44="","",IF(E44="TOTAL",SUM($Y$13:Y43),IF(K44&lt;18001,265,IF(K44&lt;33501,440,IF(K44&lt;54001,658,875)))))</f>
        <v/>
      </c>
      <c r="Z44" s="31" t="str">
        <f>IF(E44="","",IF(E44="TOTAL",SUM($Z$13:Z43),X44-Y44))</f>
        <v/>
      </c>
      <c r="AA44" s="39" t="str">
        <f>IF(E44="","",IF(E44="TOTAL",SUM($AA$13:AA43),0))</f>
        <v/>
      </c>
      <c r="AB44" s="30" t="str">
        <f>IF(E44="","",IF(E44="TOTAL",SUM($AB$13:AB43),ROUND(T44*$Z$5,0)))</f>
        <v/>
      </c>
      <c r="AC44" s="35" t="str">
        <f t="shared" si="17"/>
        <v/>
      </c>
      <c r="AD44" s="36" t="str">
        <f t="shared" si="13"/>
        <v/>
      </c>
      <c r="AE44" s="7"/>
      <c r="AF44" s="7"/>
      <c r="AG44" s="71" t="str">
        <f t="shared" si="18"/>
        <v/>
      </c>
      <c r="AH44" s="71"/>
      <c r="AI44" s="72" t="str">
        <f>IF(OR(E44="",E44="TOTAL"),"",VLOOKUP(DATEVALUE(E44),AM44:$AR$66,2,0))</f>
        <v/>
      </c>
      <c r="AJ44" s="72" t="str">
        <f>IF(OR(E44="",E44="TOTAL"),"",VLOOKUP(DATEVALUE(E44),AM44:$AR$66,3,0))</f>
        <v/>
      </c>
      <c r="AK44" s="73" t="str">
        <f>IF(OR(E44="",E44="TOTAL"),"",VLOOKUP(DATEVALUE(E44),AM44:$AR$66,5,0))</f>
        <v/>
      </c>
      <c r="AL44" s="71"/>
      <c r="AM44" s="74">
        <v>45139</v>
      </c>
      <c r="AN44" s="64">
        <v>46</v>
      </c>
      <c r="AO44" s="64">
        <f t="shared" si="19"/>
        <v>9</v>
      </c>
      <c r="AP44" s="64"/>
      <c r="AQ44" s="65">
        <v>0.04</v>
      </c>
      <c r="AR44" s="75"/>
      <c r="AS44" s="78"/>
      <c r="AT44" s="78"/>
      <c r="AU44" s="78"/>
      <c r="AV44" s="78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</row>
    <row r="45" spans="1:61" s="34" customFormat="1" ht="25.5" customHeight="1" x14ac:dyDescent="0.25">
      <c r="A45" s="33"/>
      <c r="B45" s="27" t="str">
        <f t="shared" si="7"/>
        <v/>
      </c>
      <c r="C45" s="32" t="str">
        <f t="shared" si="20"/>
        <v/>
      </c>
      <c r="D45" s="32" t="str">
        <f t="shared" si="8"/>
        <v/>
      </c>
      <c r="E45" s="37" t="str">
        <f t="shared" si="21"/>
        <v/>
      </c>
      <c r="F45" s="29" t="str">
        <f>IF(E45="","",IF(C45="Jul",MROUND(F44*1.03,100),IF(E45="TOTAL",SUM($F$13:F44),F44)))</f>
        <v/>
      </c>
      <c r="G45" s="29" t="str">
        <f>IF(E45="","",IF(E45="TOTAL",SUM($G$13:G44),ROUND(F45*AI45/100,0)))</f>
        <v/>
      </c>
      <c r="H45" s="38" t="str">
        <f>IF(E45="","",IF(E45="TOTAL",SUM($H$13:H44),ROUND(F45*AJ45/100,0)))</f>
        <v/>
      </c>
      <c r="I45" s="38" t="str">
        <f>IF(E45="","",IF(E45="TOTAL",SUM($I$13:I44),0))</f>
        <v/>
      </c>
      <c r="J45" s="35" t="str">
        <f t="shared" si="9"/>
        <v/>
      </c>
      <c r="K45" s="38" t="str">
        <f>IF(E45="","",IF(C45="Jul",MROUND(K44*1.03,100),IF(E45="TOTAL",SUM($K$13:K44),K44)))</f>
        <v/>
      </c>
      <c r="L45" s="38" t="str">
        <f>IF(E45="","",IF(E45="TOTAL",SUM($L$13:L44),ROUND(K45*AI45/100,0)))</f>
        <v/>
      </c>
      <c r="M45" s="38" t="str">
        <f>IF(E45="","",IF(E45="TOTAL",SUM($M$13:M44),ROUND(K45*AJ45/100,0)))</f>
        <v/>
      </c>
      <c r="N45" s="38" t="str">
        <f>IF(E45="","",IF(E45="TOTAL",SUM($N$13:N44),0))</f>
        <v/>
      </c>
      <c r="O45" s="35" t="str">
        <f t="shared" si="15"/>
        <v/>
      </c>
      <c r="P45" s="29" t="str">
        <f t="shared" si="22"/>
        <v/>
      </c>
      <c r="Q45" s="29" t="str">
        <f t="shared" si="23"/>
        <v/>
      </c>
      <c r="R45" s="29" t="str">
        <f t="shared" si="24"/>
        <v/>
      </c>
      <c r="S45" s="29" t="str">
        <f t="shared" si="10"/>
        <v/>
      </c>
      <c r="T45" s="35" t="str">
        <f t="shared" si="11"/>
        <v/>
      </c>
      <c r="U45" s="39" t="str">
        <f>IF(E45="","",IF(E45="TOTAL",SUM($U$13:U44),ROUND(F45*AK45,0)))</f>
        <v/>
      </c>
      <c r="V45" s="39" t="str">
        <f>IF(E45="","",IF(E45="TOTAL",SUM($V$13:V44),ROUND(K45*AK45,0)))</f>
        <v/>
      </c>
      <c r="W45" s="30" t="str">
        <f t="shared" si="16"/>
        <v/>
      </c>
      <c r="X45" s="87" t="str">
        <f>IF(E45="","",IF(E45="TOTAL",SUM($X$13:X44),IF(F45&lt;18001,265,IF(F45&lt;33501,440,IF(F45&lt;54001,658,875)))))</f>
        <v/>
      </c>
      <c r="Y45" s="87" t="str">
        <f>IF(E45="","",IF(E45="TOTAL",SUM($Y$13:Y44),IF(K45&lt;18001,265,IF(K45&lt;33501,440,IF(K45&lt;54001,658,875)))))</f>
        <v/>
      </c>
      <c r="Z45" s="31" t="str">
        <f>IF(E45="","",IF(E45="TOTAL",SUM($Z$13:Z44),X45-Y45))</f>
        <v/>
      </c>
      <c r="AA45" s="39" t="str">
        <f>IF(E45="","",IF(E45="TOTAL",SUM($AA$13:AA44),0))</f>
        <v/>
      </c>
      <c r="AB45" s="30" t="str">
        <f>IF(E45="","",IF(E45="TOTAL",SUM($AB$13:AB44),ROUND(T45*$Z$5,0)))</f>
        <v/>
      </c>
      <c r="AC45" s="35" t="str">
        <f t="shared" si="17"/>
        <v/>
      </c>
      <c r="AD45" s="36" t="str">
        <f t="shared" si="13"/>
        <v/>
      </c>
      <c r="AE45" s="7"/>
      <c r="AF45" s="7"/>
      <c r="AG45" s="71" t="str">
        <f t="shared" si="18"/>
        <v/>
      </c>
      <c r="AH45" s="71"/>
      <c r="AI45" s="72" t="str">
        <f>IF(OR(E45="",E45="TOTAL"),"",VLOOKUP(DATEVALUE(E45),AM45:$AR$66,2,0))</f>
        <v/>
      </c>
      <c r="AJ45" s="72" t="str">
        <f>IF(OR(E45="",E45="TOTAL"),"",VLOOKUP(DATEVALUE(E45),AM45:$AR$66,3,0))</f>
        <v/>
      </c>
      <c r="AK45" s="73" t="str">
        <f>IF(OR(E45="",E45="TOTAL"),"",VLOOKUP(DATEVALUE(E45),AM45:$AR$66,5,0))</f>
        <v/>
      </c>
      <c r="AL45" s="71"/>
      <c r="AM45" s="74">
        <v>45170</v>
      </c>
      <c r="AN45" s="64">
        <v>46</v>
      </c>
      <c r="AO45" s="64">
        <f t="shared" si="19"/>
        <v>9</v>
      </c>
      <c r="AP45" s="64"/>
      <c r="AQ45" s="65">
        <v>0.04</v>
      </c>
      <c r="AR45" s="75"/>
      <c r="AS45" s="78"/>
      <c r="AT45" s="78"/>
      <c r="AU45" s="78"/>
      <c r="AV45" s="78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</row>
    <row r="46" spans="1:61" s="34" customFormat="1" ht="25.5" customHeight="1" x14ac:dyDescent="0.25">
      <c r="A46" s="33"/>
      <c r="B46" s="27" t="str">
        <f t="shared" ref="B46:B73" si="25">IFERROR(IF(AG46="","",IF(DATE(YEAR(AG46),MONTH(AG46),DAY(AG46))=DATE(YEAR($AN$4),MONTH($AN$4)+1,DAY($AN$4)),"TOTAL",IF(AG46&gt;$AN$4,"",AG46))),"")</f>
        <v/>
      </c>
      <c r="C46" s="32" t="str">
        <f t="shared" si="20"/>
        <v/>
      </c>
      <c r="D46" s="32" t="str">
        <f t="shared" ref="D46:D73" si="26">IF(D45&gt;=$AK$5,"",D45+1)</f>
        <v/>
      </c>
      <c r="E46" s="37" t="str">
        <f t="shared" si="21"/>
        <v/>
      </c>
      <c r="F46" s="29" t="str">
        <f>IF(E46="","",IF(C46="Jul",MROUND(F45*1.03,100),IF(E46="TOTAL",SUM($F$13:F45),F45)))</f>
        <v/>
      </c>
      <c r="G46" s="29" t="str">
        <f>IF(E46="","",IF(E46="TOTAL",SUM($G$13:G45),ROUND(F46*AI46/100,0)))</f>
        <v/>
      </c>
      <c r="H46" s="38" t="str">
        <f>IF(E46="","",IF(E46="TOTAL",SUM($H$13:H45),ROUND(F46*AJ46/100,0)))</f>
        <v/>
      </c>
      <c r="I46" s="38" t="str">
        <f>IF(E46="","",IF(E46="TOTAL",SUM($I$13:I45),0))</f>
        <v/>
      </c>
      <c r="J46" s="35" t="str">
        <f t="shared" si="9"/>
        <v/>
      </c>
      <c r="K46" s="38" t="str">
        <f>IF(E46="","",IF(C46="Jul",MROUND(K45*1.03,100),IF(E46="TOTAL",SUM($K$13:K45),K45)))</f>
        <v/>
      </c>
      <c r="L46" s="38" t="str">
        <f>IF(E46="","",IF(E46="TOTAL",SUM($L$13:L45),ROUND(K46*AI46/100,0)))</f>
        <v/>
      </c>
      <c r="M46" s="38" t="str">
        <f>IF(E46="","",IF(E46="TOTAL",SUM($M$13:M45),ROUND(K46*AJ46/100,0)))</f>
        <v/>
      </c>
      <c r="N46" s="38" t="str">
        <f>IF(E46="","",IF(E46="TOTAL",SUM($N$13:N45),0))</f>
        <v/>
      </c>
      <c r="O46" s="35" t="str">
        <f t="shared" si="15"/>
        <v/>
      </c>
      <c r="P46" s="29" t="str">
        <f t="shared" si="22"/>
        <v/>
      </c>
      <c r="Q46" s="29" t="str">
        <f t="shared" si="23"/>
        <v/>
      </c>
      <c r="R46" s="29" t="str">
        <f t="shared" si="24"/>
        <v/>
      </c>
      <c r="S46" s="29" t="str">
        <f t="shared" si="10"/>
        <v/>
      </c>
      <c r="T46" s="35" t="str">
        <f t="shared" si="11"/>
        <v/>
      </c>
      <c r="U46" s="39" t="str">
        <f>IF(E46="","",IF(E46="TOTAL",SUM($U$13:U45),ROUND(F46*AK46,0)))</f>
        <v/>
      </c>
      <c r="V46" s="39" t="str">
        <f>IF(E46="","",IF(E46="TOTAL",SUM($V$13:V45),ROUND(K46*AK46,0)))</f>
        <v/>
      </c>
      <c r="W46" s="30" t="str">
        <f t="shared" si="16"/>
        <v/>
      </c>
      <c r="X46" s="87" t="str">
        <f>IF(E46="","",IF(E46="TOTAL",SUM($X$13:X45),IF(F46&lt;18001,265,IF(F46&lt;33501,440,IF(F46&lt;54001,658,875)))))</f>
        <v/>
      </c>
      <c r="Y46" s="87" t="str">
        <f>IF(E46="","",IF(E46="TOTAL",SUM($Y$13:Y45),IF(K46&lt;18001,265,IF(K46&lt;33501,440,IF(K46&lt;54001,658,875)))))</f>
        <v/>
      </c>
      <c r="Z46" s="31" t="str">
        <f>IF(E46="","",IF(E46="TOTAL",SUM($Z$13:Z45),X46-Y46))</f>
        <v/>
      </c>
      <c r="AA46" s="39" t="str">
        <f>IF(E46="","",IF(E46="TOTAL",SUM($AA$13:AA45),0))</f>
        <v/>
      </c>
      <c r="AB46" s="30" t="str">
        <f>IF(E46="","",IF(E46="TOTAL",SUM($AB$13:AB45),ROUND(T46*$Z$5,0)))</f>
        <v/>
      </c>
      <c r="AC46" s="35" t="str">
        <f t="shared" si="17"/>
        <v/>
      </c>
      <c r="AD46" s="36" t="str">
        <f t="shared" si="13"/>
        <v/>
      </c>
      <c r="AE46" s="7"/>
      <c r="AF46" s="7"/>
      <c r="AG46" s="71" t="str">
        <f t="shared" si="18"/>
        <v/>
      </c>
      <c r="AH46" s="71"/>
      <c r="AI46" s="72" t="str">
        <f>IF(OR(E46="",E46="TOTAL"),"",VLOOKUP(DATEVALUE(E46),AM46:$AR$66,2,0))</f>
        <v/>
      </c>
      <c r="AJ46" s="72" t="str">
        <f>IF(OR(E46="",E46="TOTAL"),"",VLOOKUP(DATEVALUE(E46),AM46:$AR$66,3,0))</f>
        <v/>
      </c>
      <c r="AK46" s="73" t="str">
        <f>IF(OR(E46="",E46="TOTAL"),"",VLOOKUP(DATEVALUE(E46),AM46:$AR$66,5,0))</f>
        <v/>
      </c>
      <c r="AL46" s="71"/>
      <c r="AM46" s="74">
        <v>45200</v>
      </c>
      <c r="AN46" s="64">
        <v>46</v>
      </c>
      <c r="AO46" s="64">
        <f t="shared" si="19"/>
        <v>9</v>
      </c>
      <c r="AP46" s="64"/>
      <c r="AQ46" s="65">
        <v>0.04</v>
      </c>
      <c r="AR46" s="75"/>
      <c r="AS46" s="78"/>
      <c r="AT46" s="78"/>
      <c r="AU46" s="78"/>
      <c r="AV46" s="78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</row>
    <row r="47" spans="1:61" s="34" customFormat="1" ht="25.5" customHeight="1" x14ac:dyDescent="0.25">
      <c r="A47" s="33"/>
      <c r="B47" s="27" t="str">
        <f t="shared" si="25"/>
        <v/>
      </c>
      <c r="C47" s="32" t="str">
        <f t="shared" si="20"/>
        <v/>
      </c>
      <c r="D47" s="32" t="str">
        <f t="shared" si="26"/>
        <v/>
      </c>
      <c r="E47" s="37" t="str">
        <f t="shared" si="21"/>
        <v/>
      </c>
      <c r="F47" s="29" t="str">
        <f>IF(E47="","",IF(C47="Jul",MROUND(F46*1.03,100),IF(E47="TOTAL",SUM($F$13:F46),F46)))</f>
        <v/>
      </c>
      <c r="G47" s="29" t="str">
        <f>IF(E47="","",IF(E47="TOTAL",SUM($G$13:G46),ROUND(F47*AI47/100,0)))</f>
        <v/>
      </c>
      <c r="H47" s="38" t="str">
        <f>IF(E47="","",IF(E47="TOTAL",SUM($H$13:H46),ROUND(F47*AJ47/100,0)))</f>
        <v/>
      </c>
      <c r="I47" s="38" t="str">
        <f>IF(E47="","",IF(E47="TOTAL",SUM($I$13:I46),0))</f>
        <v/>
      </c>
      <c r="J47" s="35" t="str">
        <f t="shared" si="9"/>
        <v/>
      </c>
      <c r="K47" s="38" t="str">
        <f>IF(E47="","",IF(C47="Jul",MROUND(K46*1.03,100),IF(E47="TOTAL",SUM($K$13:K46),K46)))</f>
        <v/>
      </c>
      <c r="L47" s="38" t="str">
        <f>IF(E47="","",IF(E47="TOTAL",SUM($L$13:L46),ROUND(K47*AI47/100,0)))</f>
        <v/>
      </c>
      <c r="M47" s="38" t="str">
        <f>IF(E47="","",IF(E47="TOTAL",SUM($M$13:M46),ROUND(K47*AJ47/100,0)))</f>
        <v/>
      </c>
      <c r="N47" s="38" t="str">
        <f>IF(E47="","",IF(E47="TOTAL",SUM($N$13:N46),0))</f>
        <v/>
      </c>
      <c r="O47" s="35" t="str">
        <f t="shared" si="15"/>
        <v/>
      </c>
      <c r="P47" s="29" t="str">
        <f t="shared" si="22"/>
        <v/>
      </c>
      <c r="Q47" s="29" t="str">
        <f t="shared" si="23"/>
        <v/>
      </c>
      <c r="R47" s="29" t="str">
        <f t="shared" si="24"/>
        <v/>
      </c>
      <c r="S47" s="29" t="str">
        <f t="shared" si="10"/>
        <v/>
      </c>
      <c r="T47" s="35" t="str">
        <f t="shared" si="11"/>
        <v/>
      </c>
      <c r="U47" s="39" t="str">
        <f>IF(E47="","",IF(E47="TOTAL",SUM($U$13:U46),ROUND(F47*AK47,0)))</f>
        <v/>
      </c>
      <c r="V47" s="39" t="str">
        <f>IF(E47="","",IF(E47="TOTAL",SUM($V$13:V46),ROUND(K47*AK47,0)))</f>
        <v/>
      </c>
      <c r="W47" s="30" t="str">
        <f t="shared" si="16"/>
        <v/>
      </c>
      <c r="X47" s="87" t="str">
        <f>IF(E47="","",IF(E47="TOTAL",SUM($X$13:X46),IF(F47&lt;18001,265,IF(F47&lt;33501,440,IF(F47&lt;54001,658,875)))))</f>
        <v/>
      </c>
      <c r="Y47" s="87" t="str">
        <f>IF(E47="","",IF(E47="TOTAL",SUM($Y$13:Y46),IF(K47&lt;18001,265,IF(K47&lt;33501,440,IF(K47&lt;54001,658,875)))))</f>
        <v/>
      </c>
      <c r="Z47" s="31" t="str">
        <f>IF(E47="","",IF(E47="TOTAL",SUM($Z$13:Z46),X47-Y47))</f>
        <v/>
      </c>
      <c r="AA47" s="39" t="str">
        <f>IF(E47="","",IF(E47="TOTAL",SUM($AA$13:AA46),0))</f>
        <v/>
      </c>
      <c r="AB47" s="30" t="str">
        <f>IF(E47="","",IF(E47="TOTAL",SUM($AB$13:AB46),ROUND(T47*$Z$5,0)))</f>
        <v/>
      </c>
      <c r="AC47" s="35" t="str">
        <f t="shared" si="17"/>
        <v/>
      </c>
      <c r="AD47" s="36" t="str">
        <f t="shared" si="13"/>
        <v/>
      </c>
      <c r="AE47" s="7"/>
      <c r="AF47" s="7"/>
      <c r="AG47" s="71" t="str">
        <f t="shared" ref="AG47:AG66" si="27">IFERROR(DATE(YEAR(B46),MONTH(B46)+1,DAY(B46)),"")</f>
        <v/>
      </c>
      <c r="AH47" s="71"/>
      <c r="AI47" s="72" t="str">
        <f>IF(OR(E47="",E47="TOTAL"),"",VLOOKUP(DATEVALUE(E47),AM47:$AR$66,2,0))</f>
        <v/>
      </c>
      <c r="AJ47" s="72" t="str">
        <f>IF(OR(E47="",E47="TOTAL"),"",VLOOKUP(DATEVALUE(E47),AM47:$AR$66,3,0))</f>
        <v/>
      </c>
      <c r="AK47" s="73" t="str">
        <f>IF(OR(E47="",E47="TOTAL"),"",VLOOKUP(DATEVALUE(E47),AM47:$AR$66,5,0))</f>
        <v/>
      </c>
      <c r="AL47" s="71"/>
      <c r="AM47" s="74">
        <v>45231</v>
      </c>
      <c r="AN47" s="64">
        <v>46</v>
      </c>
      <c r="AO47" s="64">
        <f t="shared" si="19"/>
        <v>9</v>
      </c>
      <c r="AP47" s="64"/>
      <c r="AQ47" s="65"/>
      <c r="AR47" s="75"/>
      <c r="AS47" s="78"/>
      <c r="AT47" s="78"/>
      <c r="AU47" s="78"/>
      <c r="AV47" s="78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</row>
    <row r="48" spans="1:61" s="34" customFormat="1" ht="25.5" customHeight="1" x14ac:dyDescent="0.25">
      <c r="A48" s="33"/>
      <c r="B48" s="27" t="str">
        <f t="shared" si="25"/>
        <v/>
      </c>
      <c r="C48" s="32" t="str">
        <f t="shared" si="20"/>
        <v/>
      </c>
      <c r="D48" s="32" t="str">
        <f t="shared" si="26"/>
        <v/>
      </c>
      <c r="E48" s="37" t="str">
        <f t="shared" si="21"/>
        <v/>
      </c>
      <c r="F48" s="29" t="str">
        <f>IF(E48="","",IF(C48="Jul",MROUND(F47*1.03,100),IF(E48="TOTAL",SUM($F$13:F47),F47)))</f>
        <v/>
      </c>
      <c r="G48" s="29" t="str">
        <f>IF(E48="","",IF(E48="TOTAL",SUM($G$13:G47),ROUND(F48*AI48/100,0)))</f>
        <v/>
      </c>
      <c r="H48" s="38" t="str">
        <f>IF(E48="","",IF(E48="TOTAL",SUM($H$13:H47),ROUND(F48*AJ48/100,0)))</f>
        <v/>
      </c>
      <c r="I48" s="38" t="str">
        <f>IF(E48="","",IF(E48="TOTAL",SUM($I$13:I47),0))</f>
        <v/>
      </c>
      <c r="J48" s="35" t="str">
        <f t="shared" si="9"/>
        <v/>
      </c>
      <c r="K48" s="38" t="str">
        <f>IF(E48="","",IF(C48="Jul",MROUND(K47*1.03,100),IF(E48="TOTAL",SUM($K$13:K47),K47)))</f>
        <v/>
      </c>
      <c r="L48" s="38" t="str">
        <f>IF(E48="","",IF(E48="TOTAL",SUM($L$13:L47),ROUND(K48*AI48/100,0)))</f>
        <v/>
      </c>
      <c r="M48" s="38" t="str">
        <f>IF(E48="","",IF(E48="TOTAL",SUM($M$13:M47),ROUND(K48*AJ48/100,0)))</f>
        <v/>
      </c>
      <c r="N48" s="38" t="str">
        <f>IF(E48="","",IF(E48="TOTAL",SUM($N$13:N47),0))</f>
        <v/>
      </c>
      <c r="O48" s="35" t="str">
        <f t="shared" si="15"/>
        <v/>
      </c>
      <c r="P48" s="29" t="str">
        <f t="shared" si="22"/>
        <v/>
      </c>
      <c r="Q48" s="29" t="str">
        <f t="shared" si="23"/>
        <v/>
      </c>
      <c r="R48" s="29" t="str">
        <f t="shared" si="24"/>
        <v/>
      </c>
      <c r="S48" s="29" t="str">
        <f t="shared" si="10"/>
        <v/>
      </c>
      <c r="T48" s="35" t="str">
        <f t="shared" si="11"/>
        <v/>
      </c>
      <c r="U48" s="39" t="str">
        <f>IF(E48="","",IF(E48="TOTAL",SUM($U$13:U47),ROUND(F48*AK48,0)))</f>
        <v/>
      </c>
      <c r="V48" s="39" t="str">
        <f>IF(E48="","",IF(E48="TOTAL",SUM($V$13:V47),ROUND(K48*AK48,0)))</f>
        <v/>
      </c>
      <c r="W48" s="30" t="str">
        <f t="shared" si="16"/>
        <v/>
      </c>
      <c r="X48" s="87" t="str">
        <f>IF(E48="","",IF(E48="TOTAL",SUM($X$13:X47),IF(F48&lt;18001,265,IF(F48&lt;33501,440,IF(F48&lt;54001,658,875)))))</f>
        <v/>
      </c>
      <c r="Y48" s="87" t="str">
        <f>IF(E48="","",IF(E48="TOTAL",SUM($Y$13:Y47),IF(K48&lt;18001,265,IF(K48&lt;33501,440,IF(K48&lt;54001,658,875)))))</f>
        <v/>
      </c>
      <c r="Z48" s="31" t="str">
        <f>IF(E48="","",IF(E48="TOTAL",SUM($Z$13:Z47),X48-Y48))</f>
        <v/>
      </c>
      <c r="AA48" s="39" t="str">
        <f>IF(E48="","",IF(E48="TOTAL",SUM($AA$13:AA47),0))</f>
        <v/>
      </c>
      <c r="AB48" s="30" t="str">
        <f>IF(E48="","",IF(E48="TOTAL",SUM($AB$13:AB47),ROUND(T48*$Z$5,0)))</f>
        <v/>
      </c>
      <c r="AC48" s="35" t="str">
        <f t="shared" si="17"/>
        <v/>
      </c>
      <c r="AD48" s="36" t="str">
        <f t="shared" si="13"/>
        <v/>
      </c>
      <c r="AE48" s="7"/>
      <c r="AF48" s="7"/>
      <c r="AG48" s="71" t="str">
        <f t="shared" si="27"/>
        <v/>
      </c>
      <c r="AH48" s="71"/>
      <c r="AI48" s="72" t="str">
        <f>IF(OR(E48="",E48="TOTAL"),"",VLOOKUP(DATEVALUE(E48),AM48:$AR$66,2,0))</f>
        <v/>
      </c>
      <c r="AJ48" s="72" t="str">
        <f>IF(OR(E48="",E48="TOTAL"),"",VLOOKUP(DATEVALUE(E48),AM48:$AR$66,3,0))</f>
        <v/>
      </c>
      <c r="AK48" s="73" t="str">
        <f>IF(OR(E48="",E48="TOTAL"),"",VLOOKUP(DATEVALUE(E48),AM48:$AR$66,5,0))</f>
        <v/>
      </c>
      <c r="AL48" s="71"/>
      <c r="AM48" s="74">
        <v>45261</v>
      </c>
      <c r="AN48" s="64">
        <v>46</v>
      </c>
      <c r="AO48" s="64">
        <f t="shared" si="19"/>
        <v>9</v>
      </c>
      <c r="AP48" s="64"/>
      <c r="AQ48" s="65"/>
      <c r="AR48" s="75"/>
      <c r="AS48" s="78"/>
      <c r="AT48" s="78"/>
      <c r="AU48" s="78"/>
      <c r="AV48" s="78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</row>
    <row r="49" spans="1:61" s="34" customFormat="1" ht="25.5" customHeight="1" x14ac:dyDescent="0.25">
      <c r="A49" s="33"/>
      <c r="B49" s="27" t="str">
        <f t="shared" si="25"/>
        <v/>
      </c>
      <c r="C49" s="32" t="str">
        <f t="shared" si="20"/>
        <v/>
      </c>
      <c r="D49" s="32" t="str">
        <f t="shared" si="26"/>
        <v/>
      </c>
      <c r="E49" s="37" t="str">
        <f t="shared" si="21"/>
        <v/>
      </c>
      <c r="F49" s="29" t="str">
        <f>IF(E49="","",IF(C49="Jul",MROUND(F48*1.03,100),IF(E49="TOTAL",SUM($F$13:F48),F48)))</f>
        <v/>
      </c>
      <c r="G49" s="29" t="str">
        <f>IF(E49="","",IF(E49="TOTAL",SUM($G$13:G48),ROUND(F49*AI49/100,0)))</f>
        <v/>
      </c>
      <c r="H49" s="38" t="str">
        <f>IF(E49="","",IF(E49="TOTAL",SUM($H$13:H48),ROUND(F49*AJ49/100,0)))</f>
        <v/>
      </c>
      <c r="I49" s="38" t="str">
        <f>IF(E49="","",IF(E49="TOTAL",SUM($I$13:I48),0))</f>
        <v/>
      </c>
      <c r="J49" s="35" t="str">
        <f t="shared" si="9"/>
        <v/>
      </c>
      <c r="K49" s="38" t="str">
        <f>IF(E49="","",IF(C49="Jul",MROUND(K48*1.03,100),IF(E49="TOTAL",SUM($K$13:K48),K48)))</f>
        <v/>
      </c>
      <c r="L49" s="38" t="str">
        <f>IF(E49="","",IF(E49="TOTAL",SUM($L$13:L48),ROUND(K49*AI49/100,0)))</f>
        <v/>
      </c>
      <c r="M49" s="38" t="str">
        <f>IF(E49="","",IF(E49="TOTAL",SUM($M$13:M48),ROUND(K49*AJ49/100,0)))</f>
        <v/>
      </c>
      <c r="N49" s="38" t="str">
        <f>IF(E49="","",IF(E49="TOTAL",SUM($N$13:N48),0))</f>
        <v/>
      </c>
      <c r="O49" s="35" t="str">
        <f t="shared" si="15"/>
        <v/>
      </c>
      <c r="P49" s="29" t="str">
        <f t="shared" si="22"/>
        <v/>
      </c>
      <c r="Q49" s="29" t="str">
        <f t="shared" si="23"/>
        <v/>
      </c>
      <c r="R49" s="29" t="str">
        <f t="shared" si="24"/>
        <v/>
      </c>
      <c r="S49" s="29" t="str">
        <f t="shared" si="10"/>
        <v/>
      </c>
      <c r="T49" s="35" t="str">
        <f t="shared" si="11"/>
        <v/>
      </c>
      <c r="U49" s="39" t="str">
        <f>IF(E49="","",IF(E49="TOTAL",SUM($U$13:U48),ROUND(F49*AK49,0)))</f>
        <v/>
      </c>
      <c r="V49" s="39" t="str">
        <f>IF(E49="","",IF(E49="TOTAL",SUM($V$13:V48),ROUND(K49*AK49,0)))</f>
        <v/>
      </c>
      <c r="W49" s="30" t="str">
        <f t="shared" si="16"/>
        <v/>
      </c>
      <c r="X49" s="87" t="str">
        <f>IF(E49="","",IF(E49="TOTAL",SUM($X$13:X48),IF(F49&lt;18001,265,IF(F49&lt;33501,440,IF(F49&lt;54001,658,875)))))</f>
        <v/>
      </c>
      <c r="Y49" s="87" t="str">
        <f>IF(E49="","",IF(E49="TOTAL",SUM($Y$13:Y48),IF(K49&lt;18001,265,IF(K49&lt;33501,440,IF(K49&lt;54001,658,875)))))</f>
        <v/>
      </c>
      <c r="Z49" s="31" t="str">
        <f>IF(E49="","",IF(E49="TOTAL",SUM($Z$13:Z48),X49-Y49))</f>
        <v/>
      </c>
      <c r="AA49" s="39" t="str">
        <f>IF(E49="","",IF(E49="TOTAL",SUM($AA$13:AA48),0))</f>
        <v/>
      </c>
      <c r="AB49" s="30" t="str">
        <f>IF(E49="","",IF(E49="TOTAL",SUM($AB$13:AB48),ROUND(T49*$Z$5,0)))</f>
        <v/>
      </c>
      <c r="AC49" s="35" t="str">
        <f t="shared" si="17"/>
        <v/>
      </c>
      <c r="AD49" s="36" t="str">
        <f t="shared" si="13"/>
        <v/>
      </c>
      <c r="AE49" s="7"/>
      <c r="AF49" s="7"/>
      <c r="AG49" s="71" t="str">
        <f t="shared" si="27"/>
        <v/>
      </c>
      <c r="AH49" s="71"/>
      <c r="AI49" s="72" t="str">
        <f>IF(OR(E49="",E49="TOTAL"),"",VLOOKUP(DATEVALUE(E49),AM49:$AR$66,2,0))</f>
        <v/>
      </c>
      <c r="AJ49" s="72" t="str">
        <f>IF(OR(E49="",E49="TOTAL"),"",VLOOKUP(DATEVALUE(E49),AM49:$AR$66,3,0))</f>
        <v/>
      </c>
      <c r="AK49" s="73" t="str">
        <f>IF(OR(E49="",E49="TOTAL"),"",VLOOKUP(DATEVALUE(E49),AM49:$AR$66,5,0))</f>
        <v/>
      </c>
      <c r="AL49" s="71"/>
      <c r="AM49" s="74">
        <v>45292</v>
      </c>
      <c r="AN49" s="64">
        <v>50</v>
      </c>
      <c r="AO49" s="64">
        <f t="shared" si="19"/>
        <v>9</v>
      </c>
      <c r="AP49" s="64"/>
      <c r="AQ49" s="65">
        <v>0.04</v>
      </c>
      <c r="AR49" s="75"/>
      <c r="AS49" s="78"/>
      <c r="AT49" s="78"/>
      <c r="AU49" s="78"/>
      <c r="AV49" s="78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</row>
    <row r="50" spans="1:61" s="34" customFormat="1" ht="25.5" customHeight="1" x14ac:dyDescent="0.25">
      <c r="A50" s="33"/>
      <c r="B50" s="27" t="str">
        <f t="shared" si="25"/>
        <v/>
      </c>
      <c r="C50" s="32" t="str">
        <f t="shared" si="20"/>
        <v/>
      </c>
      <c r="D50" s="32" t="str">
        <f t="shared" si="26"/>
        <v/>
      </c>
      <c r="E50" s="37" t="str">
        <f t="shared" si="21"/>
        <v/>
      </c>
      <c r="F50" s="29" t="str">
        <f>IF(E50="","",IF(C50="Jul",MROUND(F49*1.03,100),IF(E50="TOTAL",SUM($F$13:F49),F49)))</f>
        <v/>
      </c>
      <c r="G50" s="29" t="str">
        <f>IF(E50="","",IF(E50="TOTAL",SUM($G$13:G49),ROUND(F50*AI50/100,0)))</f>
        <v/>
      </c>
      <c r="H50" s="38" t="str">
        <f>IF(E50="","",IF(E50="TOTAL",SUM($H$13:H49),ROUND(F50*AJ50/100,0)))</f>
        <v/>
      </c>
      <c r="I50" s="38" t="str">
        <f>IF(E50="","",IF(E50="TOTAL",SUM($I$13:I49),0))</f>
        <v/>
      </c>
      <c r="J50" s="35" t="str">
        <f t="shared" si="9"/>
        <v/>
      </c>
      <c r="K50" s="38" t="str">
        <f>IF(E50="","",IF(C50="Jul",MROUND(K49*1.03,100),IF(E50="TOTAL",SUM($K$13:K49),K49)))</f>
        <v/>
      </c>
      <c r="L50" s="38" t="str">
        <f>IF(E50="","",IF(E50="TOTAL",SUM($L$13:L49),ROUND(K50*AI50/100,0)))</f>
        <v/>
      </c>
      <c r="M50" s="38" t="str">
        <f>IF(E50="","",IF(E50="TOTAL",SUM($M$13:M49),ROUND(K50*AJ50/100,0)))</f>
        <v/>
      </c>
      <c r="N50" s="38" t="str">
        <f>IF(E50="","",IF(E50="TOTAL",SUM($N$13:N49),0))</f>
        <v/>
      </c>
      <c r="O50" s="35" t="str">
        <f t="shared" si="15"/>
        <v/>
      </c>
      <c r="P50" s="29" t="str">
        <f t="shared" si="22"/>
        <v/>
      </c>
      <c r="Q50" s="29" t="str">
        <f t="shared" si="23"/>
        <v/>
      </c>
      <c r="R50" s="29" t="str">
        <f t="shared" si="24"/>
        <v/>
      </c>
      <c r="S50" s="29" t="str">
        <f t="shared" si="10"/>
        <v/>
      </c>
      <c r="T50" s="35" t="str">
        <f t="shared" si="11"/>
        <v/>
      </c>
      <c r="U50" s="39" t="str">
        <f>IF(E50="","",IF(E50="TOTAL",SUM($U$13:U49),ROUND(F50*AK50,0)))</f>
        <v/>
      </c>
      <c r="V50" s="39" t="str">
        <f>IF(E50="","",IF(E50="TOTAL",SUM($V$13:V49),ROUND(K50*AK50,0)))</f>
        <v/>
      </c>
      <c r="W50" s="30" t="str">
        <f t="shared" si="16"/>
        <v/>
      </c>
      <c r="X50" s="87" t="str">
        <f>IF(E50="","",IF(E50="TOTAL",SUM($X$13:X49),IF(F50&lt;18001,265,IF(F50&lt;33501,440,IF(F50&lt;54001,658,875)))))</f>
        <v/>
      </c>
      <c r="Y50" s="87" t="str">
        <f>IF(E50="","",IF(E50="TOTAL",SUM($Y$13:Y49),IF(K50&lt;18001,265,IF(K50&lt;33501,440,IF(K50&lt;54001,658,875)))))</f>
        <v/>
      </c>
      <c r="Z50" s="31" t="str">
        <f>IF(E50="","",IF(E50="TOTAL",SUM($Z$13:Z49),X50-Y50))</f>
        <v/>
      </c>
      <c r="AA50" s="39" t="str">
        <f>IF(E50="","",IF(E50="TOTAL",SUM($AA$13:AA49),0))</f>
        <v/>
      </c>
      <c r="AB50" s="30" t="str">
        <f>IF(E50="","",IF(E50="TOTAL",SUM($AB$13:AB49),ROUND(T50*$Z$5,0)))</f>
        <v/>
      </c>
      <c r="AC50" s="35" t="str">
        <f t="shared" si="17"/>
        <v/>
      </c>
      <c r="AD50" s="36" t="str">
        <f t="shared" si="13"/>
        <v/>
      </c>
      <c r="AE50" s="7"/>
      <c r="AF50" s="7"/>
      <c r="AG50" s="71" t="str">
        <f t="shared" si="27"/>
        <v/>
      </c>
      <c r="AH50" s="71"/>
      <c r="AI50" s="72" t="str">
        <f>IF(OR(E50="",E50="TOTAL"),"",VLOOKUP(DATEVALUE(E50),AM50:$AR$66,2,0))</f>
        <v/>
      </c>
      <c r="AJ50" s="72" t="str">
        <f>IF(OR(E50="",E50="TOTAL"),"",VLOOKUP(DATEVALUE(E50),AM50:$AR$66,3,0))</f>
        <v/>
      </c>
      <c r="AK50" s="73" t="str">
        <f>IF(OR(E50="",E50="TOTAL"),"",VLOOKUP(DATEVALUE(E50),AM50:$AR$66,5,0))</f>
        <v/>
      </c>
      <c r="AL50" s="71"/>
      <c r="AM50" s="74">
        <v>45323</v>
      </c>
      <c r="AN50" s="64">
        <v>50</v>
      </c>
      <c r="AO50" s="64">
        <f t="shared" si="19"/>
        <v>9</v>
      </c>
      <c r="AP50" s="64"/>
      <c r="AQ50" s="65">
        <v>0.04</v>
      </c>
      <c r="AR50" s="75"/>
      <c r="AS50" s="78"/>
      <c r="AT50" s="78"/>
      <c r="AU50" s="78"/>
      <c r="AV50" s="78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</row>
    <row r="51" spans="1:61" s="34" customFormat="1" ht="25.5" customHeight="1" x14ac:dyDescent="0.25">
      <c r="A51" s="33"/>
      <c r="B51" s="27" t="str">
        <f t="shared" si="25"/>
        <v/>
      </c>
      <c r="C51" s="32" t="str">
        <f t="shared" si="20"/>
        <v/>
      </c>
      <c r="D51" s="32" t="str">
        <f t="shared" si="26"/>
        <v/>
      </c>
      <c r="E51" s="37" t="str">
        <f t="shared" si="21"/>
        <v/>
      </c>
      <c r="F51" s="29" t="str">
        <f>IF(E51="","",IF(C51="Jul",MROUND(F50*1.03,100),IF(E51="TOTAL",SUM($F$13:F50),F50)))</f>
        <v/>
      </c>
      <c r="G51" s="29" t="str">
        <f>IF(E51="","",IF(E51="TOTAL",SUM($G$13:G50),ROUND(F51*AI51/100,0)))</f>
        <v/>
      </c>
      <c r="H51" s="38" t="str">
        <f>IF(E51="","",IF(E51="TOTAL",SUM($H$13:H50),ROUND(F51*AJ51/100,0)))</f>
        <v/>
      </c>
      <c r="I51" s="38" t="str">
        <f>IF(E51="","",IF(E51="TOTAL",SUM($I$13:I50),0))</f>
        <v/>
      </c>
      <c r="J51" s="35" t="str">
        <f t="shared" si="9"/>
        <v/>
      </c>
      <c r="K51" s="38" t="str">
        <f>IF(E51="","",IF(C51="Jul",MROUND(K50*1.03,100),IF(E51="TOTAL",SUM($K$13:K50),K50)))</f>
        <v/>
      </c>
      <c r="L51" s="38" t="str">
        <f>IF(E51="","",IF(E51="TOTAL",SUM($L$13:L50),ROUND(K51*AI51/100,0)))</f>
        <v/>
      </c>
      <c r="M51" s="38" t="str">
        <f>IF(E51="","",IF(E51="TOTAL",SUM($M$13:M50),ROUND(K51*AJ51/100,0)))</f>
        <v/>
      </c>
      <c r="N51" s="38" t="str">
        <f>IF(E51="","",IF(E51="TOTAL",SUM($N$13:N50),0))</f>
        <v/>
      </c>
      <c r="O51" s="35" t="str">
        <f t="shared" si="15"/>
        <v/>
      </c>
      <c r="P51" s="29" t="str">
        <f t="shared" si="22"/>
        <v/>
      </c>
      <c r="Q51" s="29" t="str">
        <f t="shared" si="23"/>
        <v/>
      </c>
      <c r="R51" s="29" t="str">
        <f t="shared" si="24"/>
        <v/>
      </c>
      <c r="S51" s="29" t="str">
        <f t="shared" si="10"/>
        <v/>
      </c>
      <c r="T51" s="35" t="str">
        <f t="shared" si="11"/>
        <v/>
      </c>
      <c r="U51" s="39" t="str">
        <f>IF(E51="","",IF(E51="TOTAL",SUM($U$13:U50),ROUND(F51*AK51,0)))</f>
        <v/>
      </c>
      <c r="V51" s="39" t="str">
        <f>IF(E51="","",IF(E51="TOTAL",SUM($V$13:V50),ROUND(K51*AK51,0)))</f>
        <v/>
      </c>
      <c r="W51" s="30" t="str">
        <f t="shared" si="16"/>
        <v/>
      </c>
      <c r="X51" s="87" t="str">
        <f>IF(E51="","",IF(E51="TOTAL",SUM($X$13:X50),IF(F51&lt;18001,265,IF(F51&lt;33501,440,IF(F51&lt;54001,658,875)))))</f>
        <v/>
      </c>
      <c r="Y51" s="87" t="str">
        <f>IF(E51="","",IF(E51="TOTAL",SUM($Y$13:Y50),IF(K51&lt;18001,265,IF(K51&lt;33501,440,IF(K51&lt;54001,658,875)))))</f>
        <v/>
      </c>
      <c r="Z51" s="31" t="str">
        <f>IF(E51="","",IF(E51="TOTAL",SUM($Z$13:Z50),X51-Y51))</f>
        <v/>
      </c>
      <c r="AA51" s="39" t="str">
        <f>IF(E51="","",IF(E51="TOTAL",SUM($AA$13:AA50),0))</f>
        <v/>
      </c>
      <c r="AB51" s="30" t="str">
        <f>IF(E51="","",IF(E51="TOTAL",SUM($AB$13:AB50),ROUND(T51*$Z$5,0)))</f>
        <v/>
      </c>
      <c r="AC51" s="35" t="str">
        <f t="shared" si="17"/>
        <v/>
      </c>
      <c r="AD51" s="36" t="str">
        <f t="shared" si="13"/>
        <v/>
      </c>
      <c r="AE51" s="7"/>
      <c r="AF51" s="7"/>
      <c r="AG51" s="71" t="str">
        <f t="shared" si="27"/>
        <v/>
      </c>
      <c r="AH51" s="71"/>
      <c r="AI51" s="72" t="str">
        <f>IF(OR(E51="",E51="TOTAL"),"",VLOOKUP(DATEVALUE(E51),AM51:$AR$66,2,0))</f>
        <v/>
      </c>
      <c r="AJ51" s="72" t="str">
        <f>IF(OR(E51="",E51="TOTAL"),"",VLOOKUP(DATEVALUE(E51),AM51:$AR$66,3,0))</f>
        <v/>
      </c>
      <c r="AK51" s="73" t="str">
        <f>IF(OR(E51="",E51="TOTAL"),"",VLOOKUP(DATEVALUE(E51),AM51:$AR$66,5,0))</f>
        <v/>
      </c>
      <c r="AL51" s="71"/>
      <c r="AM51" s="74">
        <v>45352</v>
      </c>
      <c r="AN51" s="64">
        <v>50</v>
      </c>
      <c r="AO51" s="64">
        <f t="shared" si="19"/>
        <v>9</v>
      </c>
      <c r="AP51" s="64"/>
      <c r="AQ51" s="65"/>
      <c r="AR51" s="75"/>
      <c r="AS51" s="78"/>
      <c r="AT51" s="78"/>
      <c r="AU51" s="78"/>
      <c r="AV51" s="78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</row>
    <row r="52" spans="1:61" s="34" customFormat="1" ht="25.5" customHeight="1" x14ac:dyDescent="0.25">
      <c r="A52" s="33"/>
      <c r="B52" s="27" t="str">
        <f t="shared" si="25"/>
        <v/>
      </c>
      <c r="C52" s="32" t="str">
        <f t="shared" si="20"/>
        <v/>
      </c>
      <c r="D52" s="32" t="str">
        <f t="shared" si="26"/>
        <v/>
      </c>
      <c r="E52" s="37" t="str">
        <f t="shared" si="21"/>
        <v/>
      </c>
      <c r="F52" s="29" t="str">
        <f>IF(E52="","",IF(C52="Jul",MROUND(F51*1.03,100),IF(E52="TOTAL",SUM($F$13:F51),F51)))</f>
        <v/>
      </c>
      <c r="G52" s="29" t="str">
        <f>IF(E52="","",IF(E52="TOTAL",SUM($G$13:G51),ROUND(F52*AI52/100,0)))</f>
        <v/>
      </c>
      <c r="H52" s="38" t="str">
        <f>IF(E52="","",IF(E52="TOTAL",SUM($H$13:H51),ROUND(F52*AJ52/100,0)))</f>
        <v/>
      </c>
      <c r="I52" s="38" t="str">
        <f>IF(E52="","",IF(E52="TOTAL",SUM($I$13:I51),0))</f>
        <v/>
      </c>
      <c r="J52" s="35" t="str">
        <f t="shared" si="9"/>
        <v/>
      </c>
      <c r="K52" s="38" t="str">
        <f>IF(E52="","",IF(C52="Jul",MROUND(K51*1.03,100),IF(E52="TOTAL",SUM($K$13:K51),K51)))</f>
        <v/>
      </c>
      <c r="L52" s="38" t="str">
        <f>IF(E52="","",IF(E52="TOTAL",SUM($L$13:L51),ROUND(K52*AI52/100,0)))</f>
        <v/>
      </c>
      <c r="M52" s="38" t="str">
        <f>IF(E52="","",IF(E52="TOTAL",SUM($M$13:M51),ROUND(K52*AJ52/100,0)))</f>
        <v/>
      </c>
      <c r="N52" s="38" t="str">
        <f>IF(E52="","",IF(E52="TOTAL",SUM($N$13:N51),0))</f>
        <v/>
      </c>
      <c r="O52" s="35" t="str">
        <f t="shared" si="15"/>
        <v/>
      </c>
      <c r="P52" s="29" t="str">
        <f t="shared" si="22"/>
        <v/>
      </c>
      <c r="Q52" s="29" t="str">
        <f t="shared" si="23"/>
        <v/>
      </c>
      <c r="R52" s="29" t="str">
        <f t="shared" si="24"/>
        <v/>
      </c>
      <c r="S52" s="29" t="str">
        <f t="shared" si="10"/>
        <v/>
      </c>
      <c r="T52" s="35" t="str">
        <f t="shared" si="11"/>
        <v/>
      </c>
      <c r="U52" s="39" t="str">
        <f>IF(E52="","",IF(E52="TOTAL",SUM($U$13:U51),ROUND(F52*AK52,0)))</f>
        <v/>
      </c>
      <c r="V52" s="39" t="str">
        <f>IF(E52="","",IF(E52="TOTAL",SUM($V$13:V51),ROUND(K52*AK52,0)))</f>
        <v/>
      </c>
      <c r="W52" s="30" t="str">
        <f t="shared" si="16"/>
        <v/>
      </c>
      <c r="X52" s="87" t="str">
        <f>IF(E52="","",IF(E52="TOTAL",SUM($X$13:X51),IF(F52&lt;18001,265,IF(F52&lt;33501,440,IF(F52&lt;54001,658,875)))))</f>
        <v/>
      </c>
      <c r="Y52" s="87" t="str">
        <f>IF(E52="","",IF(E52="TOTAL",SUM($Y$13:Y51),IF(K52&lt;18001,265,IF(K52&lt;33501,440,IF(K52&lt;54001,658,875)))))</f>
        <v/>
      </c>
      <c r="Z52" s="31" t="str">
        <f>IF(E52="","",IF(E52="TOTAL",SUM($Z$13:Z51),X52-Y52))</f>
        <v/>
      </c>
      <c r="AA52" s="39" t="str">
        <f>IF(E52="","",IF(E52="TOTAL",SUM($AA$13:AA51),0))</f>
        <v/>
      </c>
      <c r="AB52" s="30" t="str">
        <f>IF(E52="","",IF(E52="TOTAL",SUM($AB$13:AB51),ROUND(T52*$Z$5,0)))</f>
        <v/>
      </c>
      <c r="AC52" s="35" t="str">
        <f t="shared" si="17"/>
        <v/>
      </c>
      <c r="AD52" s="36" t="str">
        <f t="shared" si="13"/>
        <v/>
      </c>
      <c r="AE52" s="7"/>
      <c r="AF52" s="7"/>
      <c r="AG52" s="71" t="str">
        <f t="shared" si="27"/>
        <v/>
      </c>
      <c r="AH52" s="71"/>
      <c r="AI52" s="72" t="str">
        <f>IF(OR(E52="",E52="TOTAL"),"",VLOOKUP(DATEVALUE(E52),AM52:$AR$66,2,0))</f>
        <v/>
      </c>
      <c r="AJ52" s="72" t="str">
        <f>IF(OR(E52="",E52="TOTAL"),"",VLOOKUP(DATEVALUE(E52),AM52:$AR$66,3,0))</f>
        <v/>
      </c>
      <c r="AK52" s="73" t="str">
        <f>IF(OR(E52="",E52="TOTAL"),"",VLOOKUP(DATEVALUE(E52),AM52:$AR$66,5,0))</f>
        <v/>
      </c>
      <c r="AL52" s="71"/>
      <c r="AM52" s="74">
        <v>45383</v>
      </c>
      <c r="AN52" s="64">
        <v>50</v>
      </c>
      <c r="AO52" s="64">
        <f t="shared" si="19"/>
        <v>9</v>
      </c>
      <c r="AP52" s="64"/>
      <c r="AQ52" s="65"/>
      <c r="AR52" s="75"/>
      <c r="AS52" s="78"/>
      <c r="AT52" s="78"/>
      <c r="AU52" s="78"/>
      <c r="AV52" s="78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</row>
    <row r="53" spans="1:61" s="34" customFormat="1" ht="25.5" customHeight="1" x14ac:dyDescent="0.25">
      <c r="A53" s="33"/>
      <c r="B53" s="27" t="str">
        <f t="shared" si="25"/>
        <v/>
      </c>
      <c r="C53" s="32" t="str">
        <f t="shared" si="20"/>
        <v/>
      </c>
      <c r="D53" s="32" t="str">
        <f t="shared" si="26"/>
        <v/>
      </c>
      <c r="E53" s="37" t="str">
        <f t="shared" si="21"/>
        <v/>
      </c>
      <c r="F53" s="29" t="str">
        <f>IF(E53="","",IF(C53="Jul",MROUND(F52*1.03,100),IF(E53="TOTAL",SUM($F$13:F52),F52)))</f>
        <v/>
      </c>
      <c r="G53" s="29" t="str">
        <f>IF(E53="","",IF(E53="TOTAL",SUM($G$13:G52),ROUND(F53*AI53/100,0)))</f>
        <v/>
      </c>
      <c r="H53" s="38" t="str">
        <f>IF(E53="","",IF(E53="TOTAL",SUM($H$13:H52),ROUND(F53*AJ53/100,0)))</f>
        <v/>
      </c>
      <c r="I53" s="38" t="str">
        <f>IF(E53="","",IF(E53="TOTAL",SUM($I$13:I52),0))</f>
        <v/>
      </c>
      <c r="J53" s="35" t="str">
        <f t="shared" si="9"/>
        <v/>
      </c>
      <c r="K53" s="38" t="str">
        <f>IF(E53="","",IF(C53="Jul",MROUND(K52*1.03,100),IF(E53="TOTAL",SUM($K$13:K52),K52)))</f>
        <v/>
      </c>
      <c r="L53" s="38" t="str">
        <f>IF(E53="","",IF(E53="TOTAL",SUM($L$13:L52),ROUND(K53*AI53/100,0)))</f>
        <v/>
      </c>
      <c r="M53" s="38" t="str">
        <f>IF(E53="","",IF(E53="TOTAL",SUM($M$13:M52),ROUND(K53*AJ53/100,0)))</f>
        <v/>
      </c>
      <c r="N53" s="38" t="str">
        <f>IF(E53="","",IF(E53="TOTAL",SUM($N$13:N52),0))</f>
        <v/>
      </c>
      <c r="O53" s="35" t="str">
        <f t="shared" si="15"/>
        <v/>
      </c>
      <c r="P53" s="29" t="str">
        <f t="shared" si="22"/>
        <v/>
      </c>
      <c r="Q53" s="29" t="str">
        <f t="shared" si="23"/>
        <v/>
      </c>
      <c r="R53" s="29" t="str">
        <f t="shared" si="24"/>
        <v/>
      </c>
      <c r="S53" s="29" t="str">
        <f t="shared" si="10"/>
        <v/>
      </c>
      <c r="T53" s="35" t="str">
        <f t="shared" si="11"/>
        <v/>
      </c>
      <c r="U53" s="39" t="str">
        <f>IF(E53="","",IF(E53="TOTAL",SUM($U$13:U52),ROUND(F53*AK53,0)))</f>
        <v/>
      </c>
      <c r="V53" s="39" t="str">
        <f>IF(E53="","",IF(E53="TOTAL",SUM($V$13:V52),ROUND(K53*AK53,0)))</f>
        <v/>
      </c>
      <c r="W53" s="30" t="str">
        <f t="shared" si="16"/>
        <v/>
      </c>
      <c r="X53" s="87" t="str">
        <f>IF(E53="","",IF(E53="TOTAL",SUM($X$13:X52),IF(F53&lt;18001,265,IF(F53&lt;33501,440,IF(F53&lt;54001,658,875)))))</f>
        <v/>
      </c>
      <c r="Y53" s="87" t="str">
        <f>IF(E53="","",IF(E53="TOTAL",SUM($Y$13:Y52),IF(K53&lt;18001,265,IF(K53&lt;33501,440,IF(K53&lt;54001,658,875)))))</f>
        <v/>
      </c>
      <c r="Z53" s="31" t="str">
        <f>IF(E53="","",IF(E53="TOTAL",SUM($Z$13:Z52),X53-Y53))</f>
        <v/>
      </c>
      <c r="AA53" s="39" t="str">
        <f>IF(E53="","",IF(E53="TOTAL",SUM($AA$13:AA52),0))</f>
        <v/>
      </c>
      <c r="AB53" s="30" t="str">
        <f>IF(E53="","",IF(E53="TOTAL",SUM($AB$13:AB52),ROUND(T53*$Z$5,0)))</f>
        <v/>
      </c>
      <c r="AC53" s="35" t="str">
        <f t="shared" si="17"/>
        <v/>
      </c>
      <c r="AD53" s="36" t="str">
        <f t="shared" si="13"/>
        <v/>
      </c>
      <c r="AE53" s="7"/>
      <c r="AF53" s="7"/>
      <c r="AG53" s="71" t="str">
        <f t="shared" si="27"/>
        <v/>
      </c>
      <c r="AH53" s="71"/>
      <c r="AI53" s="72" t="str">
        <f>IF(OR(E53="",E53="TOTAL"),"",VLOOKUP(DATEVALUE(E53),AM53:$AR$66,2,0))</f>
        <v/>
      </c>
      <c r="AJ53" s="72" t="str">
        <f>IF(OR(E53="",E53="TOTAL"),"",VLOOKUP(DATEVALUE(E53),AM53:$AR$66,3,0))</f>
        <v/>
      </c>
      <c r="AK53" s="73" t="str">
        <f>IF(OR(E53="",E53="TOTAL"),"",VLOOKUP(DATEVALUE(E53),AM53:$AR$66,5,0))</f>
        <v/>
      </c>
      <c r="AL53" s="71"/>
      <c r="AM53" s="74">
        <v>45413</v>
      </c>
      <c r="AN53" s="64">
        <v>50</v>
      </c>
      <c r="AO53" s="64">
        <f t="shared" si="19"/>
        <v>9</v>
      </c>
      <c r="AP53" s="64"/>
      <c r="AQ53" s="65"/>
      <c r="AR53" s="75"/>
      <c r="AS53" s="78"/>
      <c r="AT53" s="78"/>
      <c r="AU53" s="78"/>
      <c r="AV53" s="78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</row>
    <row r="54" spans="1:61" s="34" customFormat="1" ht="25.5" customHeight="1" x14ac:dyDescent="0.25">
      <c r="A54" s="33"/>
      <c r="B54" s="27" t="str">
        <f t="shared" si="25"/>
        <v/>
      </c>
      <c r="C54" s="32" t="str">
        <f t="shared" si="20"/>
        <v/>
      </c>
      <c r="D54" s="32" t="str">
        <f t="shared" si="26"/>
        <v/>
      </c>
      <c r="E54" s="37" t="str">
        <f t="shared" si="21"/>
        <v/>
      </c>
      <c r="F54" s="29" t="str">
        <f>IF(E54="","",IF(C54="Jul",MROUND(F53*1.03,100),IF(E54="TOTAL",SUM($F$13:F53),F53)))</f>
        <v/>
      </c>
      <c r="G54" s="29" t="str">
        <f>IF(E54="","",IF(E54="TOTAL",SUM($G$13:G53),ROUND(F54*AI54/100,0)))</f>
        <v/>
      </c>
      <c r="H54" s="38" t="str">
        <f>IF(E54="","",IF(E54="TOTAL",SUM($H$13:H53),ROUND(F54*AJ54/100,0)))</f>
        <v/>
      </c>
      <c r="I54" s="38" t="str">
        <f>IF(E54="","",IF(E54="TOTAL",SUM($I$13:I53),0))</f>
        <v/>
      </c>
      <c r="J54" s="35" t="str">
        <f t="shared" si="9"/>
        <v/>
      </c>
      <c r="K54" s="38" t="str">
        <f>IF(E54="","",IF(C54="Jul",MROUND(K53*1.03,100),IF(E54="TOTAL",SUM($K$13:K53),K53)))</f>
        <v/>
      </c>
      <c r="L54" s="38" t="str">
        <f>IF(E54="","",IF(E54="TOTAL",SUM($L$13:L53),ROUND(K54*AI54/100,0)))</f>
        <v/>
      </c>
      <c r="M54" s="38" t="str">
        <f>IF(E54="","",IF(E54="TOTAL",SUM($M$13:M53),ROUND(K54*AJ54/100,0)))</f>
        <v/>
      </c>
      <c r="N54" s="38" t="str">
        <f>IF(E54="","",IF(E54="TOTAL",SUM($N$13:N53),0))</f>
        <v/>
      </c>
      <c r="O54" s="35" t="str">
        <f t="shared" si="15"/>
        <v/>
      </c>
      <c r="P54" s="29" t="str">
        <f t="shared" si="22"/>
        <v/>
      </c>
      <c r="Q54" s="29" t="str">
        <f t="shared" si="23"/>
        <v/>
      </c>
      <c r="R54" s="29" t="str">
        <f t="shared" si="24"/>
        <v/>
      </c>
      <c r="S54" s="29" t="str">
        <f t="shared" si="10"/>
        <v/>
      </c>
      <c r="T54" s="35" t="str">
        <f t="shared" si="11"/>
        <v/>
      </c>
      <c r="U54" s="39" t="str">
        <f>IF(E54="","",IF(E54="TOTAL",SUM($U$13:U53),ROUND(F54*AK54,0)))</f>
        <v/>
      </c>
      <c r="V54" s="39" t="str">
        <f>IF(E54="","",IF(E54="TOTAL",SUM($V$13:V53),ROUND(K54*AK54,0)))</f>
        <v/>
      </c>
      <c r="W54" s="30" t="str">
        <f t="shared" si="16"/>
        <v/>
      </c>
      <c r="X54" s="87" t="str">
        <f>IF(E54="","",IF(E54="TOTAL",SUM($X$13:X53),IF(F54&lt;18001,265,IF(F54&lt;33501,440,IF(F54&lt;54001,658,875)))))</f>
        <v/>
      </c>
      <c r="Y54" s="87" t="str">
        <f>IF(E54="","",IF(E54="TOTAL",SUM($Y$13:Y53),IF(K54&lt;18001,265,IF(K54&lt;33501,440,IF(K54&lt;54001,658,875)))))</f>
        <v/>
      </c>
      <c r="Z54" s="31" t="str">
        <f>IF(E54="","",IF(E54="TOTAL",SUM($Z$13:Z53),X54-Y54))</f>
        <v/>
      </c>
      <c r="AA54" s="39" t="str">
        <f>IF(E54="","",IF(E54="TOTAL",SUM($AA$13:AA53),0))</f>
        <v/>
      </c>
      <c r="AB54" s="30" t="str">
        <f>IF(E54="","",IF(E54="TOTAL",SUM($AB$13:AB53),ROUND(T54*$Z$5,0)))</f>
        <v/>
      </c>
      <c r="AC54" s="35" t="str">
        <f t="shared" si="17"/>
        <v/>
      </c>
      <c r="AD54" s="36" t="str">
        <f t="shared" si="13"/>
        <v/>
      </c>
      <c r="AE54" s="7"/>
      <c r="AF54" s="7"/>
      <c r="AG54" s="71" t="str">
        <f t="shared" si="27"/>
        <v/>
      </c>
      <c r="AH54" s="71"/>
      <c r="AI54" s="72" t="str">
        <f>IF(OR(E54="",E54="TOTAL"),"",VLOOKUP(DATEVALUE(E54),AM54:$AR$66,2,0))</f>
        <v/>
      </c>
      <c r="AJ54" s="72" t="str">
        <f>IF(OR(E54="",E54="TOTAL"),"",VLOOKUP(DATEVALUE(E54),AM54:$AR$66,3,0))</f>
        <v/>
      </c>
      <c r="AK54" s="73" t="str">
        <f>IF(OR(E54="",E54="TOTAL"),"",VLOOKUP(DATEVALUE(E54),AM54:$AR$66,5,0))</f>
        <v/>
      </c>
      <c r="AL54" s="71"/>
      <c r="AM54" s="74">
        <v>45444</v>
      </c>
      <c r="AN54" s="64">
        <v>50</v>
      </c>
      <c r="AO54" s="64">
        <f t="shared" si="19"/>
        <v>9</v>
      </c>
      <c r="AP54" s="64"/>
      <c r="AQ54" s="65"/>
      <c r="AR54" s="75"/>
      <c r="AS54" s="78"/>
      <c r="AT54" s="78"/>
      <c r="AU54" s="78"/>
      <c r="AV54" s="78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</row>
    <row r="55" spans="1:61" s="34" customFormat="1" ht="25.5" customHeight="1" x14ac:dyDescent="0.25">
      <c r="A55" s="33"/>
      <c r="B55" s="27" t="str">
        <f t="shared" si="25"/>
        <v/>
      </c>
      <c r="C55" s="32" t="str">
        <f t="shared" si="20"/>
        <v/>
      </c>
      <c r="D55" s="32" t="str">
        <f t="shared" si="26"/>
        <v/>
      </c>
      <c r="E55" s="37" t="str">
        <f t="shared" si="21"/>
        <v/>
      </c>
      <c r="F55" s="29" t="str">
        <f>IF(E55="","",IF(C55="Jul",MROUND(F54*1.03,100),IF(E55="TOTAL",SUM($F$13:F54),F54)))</f>
        <v/>
      </c>
      <c r="G55" s="29" t="str">
        <f>IF(E55="","",IF(E55="TOTAL",SUM($G$13:G54),ROUND(F55*AI55/100,0)))</f>
        <v/>
      </c>
      <c r="H55" s="38" t="str">
        <f>IF(E55="","",IF(E55="TOTAL",SUM($H$13:H54),ROUND(F55*AJ55/100,0)))</f>
        <v/>
      </c>
      <c r="I55" s="38" t="str">
        <f>IF(E55="","",IF(E55="TOTAL",SUM($I$13:I54),0))</f>
        <v/>
      </c>
      <c r="J55" s="35" t="str">
        <f t="shared" si="9"/>
        <v/>
      </c>
      <c r="K55" s="38" t="str">
        <f>IF(E55="","",IF(C55="Jul",MROUND(K54*1.03,100),IF(E55="TOTAL",SUM($K$13:K54),K54)))</f>
        <v/>
      </c>
      <c r="L55" s="38" t="str">
        <f>IF(E55="","",IF(E55="TOTAL",SUM($L$13:L54),ROUND(K55*AI55/100,0)))</f>
        <v/>
      </c>
      <c r="M55" s="38" t="str">
        <f>IF(E55="","",IF(E55="TOTAL",SUM($M$13:M54),ROUND(K55*AJ55/100,0)))</f>
        <v/>
      </c>
      <c r="N55" s="38" t="str">
        <f>IF(E55="","",IF(E55="TOTAL",SUM($N$13:N54),0))</f>
        <v/>
      </c>
      <c r="O55" s="35" t="str">
        <f t="shared" si="15"/>
        <v/>
      </c>
      <c r="P55" s="29" t="str">
        <f t="shared" si="22"/>
        <v/>
      </c>
      <c r="Q55" s="29" t="str">
        <f t="shared" si="23"/>
        <v/>
      </c>
      <c r="R55" s="29" t="str">
        <f t="shared" si="24"/>
        <v/>
      </c>
      <c r="S55" s="29" t="str">
        <f t="shared" si="10"/>
        <v/>
      </c>
      <c r="T55" s="35" t="str">
        <f t="shared" si="11"/>
        <v/>
      </c>
      <c r="U55" s="39" t="str">
        <f>IF(E55="","",IF(E55="TOTAL",SUM($U$13:U54),ROUND(F55*AK55,0)))</f>
        <v/>
      </c>
      <c r="V55" s="39" t="str">
        <f>IF(E55="","",IF(E55="TOTAL",SUM($V$13:V54),ROUND(K55*AK55,0)))</f>
        <v/>
      </c>
      <c r="W55" s="30" t="str">
        <f t="shared" si="16"/>
        <v/>
      </c>
      <c r="X55" s="87" t="str">
        <f>IF(E55="","",IF(E55="TOTAL",SUM($X$13:X54),IF(F55&lt;18001,265,IF(F55&lt;33501,440,IF(F55&lt;54001,658,875)))))</f>
        <v/>
      </c>
      <c r="Y55" s="87" t="str">
        <f>IF(E55="","",IF(E55="TOTAL",SUM($Y$13:Y54),IF(K55&lt;18001,265,IF(K55&lt;33501,440,IF(K55&lt;54001,658,875)))))</f>
        <v/>
      </c>
      <c r="Z55" s="31" t="str">
        <f>IF(E55="","",IF(E55="TOTAL",SUM($Z$13:Z54),X55-Y55))</f>
        <v/>
      </c>
      <c r="AA55" s="39" t="str">
        <f>IF(E55="","",IF(E55="TOTAL",SUM($AA$13:AA54),0))</f>
        <v/>
      </c>
      <c r="AB55" s="30" t="str">
        <f>IF(E55="","",IF(E55="TOTAL",SUM($AB$13:AB54),ROUND(T55*$Z$5,0)))</f>
        <v/>
      </c>
      <c r="AC55" s="35" t="str">
        <f t="shared" si="17"/>
        <v/>
      </c>
      <c r="AD55" s="36" t="str">
        <f t="shared" si="13"/>
        <v/>
      </c>
      <c r="AE55" s="7"/>
      <c r="AF55" s="7"/>
      <c r="AG55" s="71" t="str">
        <f t="shared" si="27"/>
        <v/>
      </c>
      <c r="AH55" s="71"/>
      <c r="AI55" s="72" t="str">
        <f>IF(OR(E55="",E55="TOTAL"),"",VLOOKUP(DATEVALUE(E55),AM55:$AR$66,2,0))</f>
        <v/>
      </c>
      <c r="AJ55" s="72" t="str">
        <f>IF(OR(E55="",E55="TOTAL"),"",VLOOKUP(DATEVALUE(E55),AM55:$AR$66,3,0))</f>
        <v/>
      </c>
      <c r="AK55" s="73" t="str">
        <f>IF(OR(E55="",E55="TOTAL"),"",VLOOKUP(DATEVALUE(E55),AM55:$AR$66,5,0))</f>
        <v/>
      </c>
      <c r="AL55" s="71"/>
      <c r="AM55" s="74">
        <v>45474</v>
      </c>
      <c r="AN55" s="64">
        <v>53</v>
      </c>
      <c r="AO55" s="64">
        <f t="shared" si="19"/>
        <v>9</v>
      </c>
      <c r="AP55" s="64"/>
      <c r="AQ55" s="65">
        <v>0.03</v>
      </c>
      <c r="AR55" s="75"/>
      <c r="AS55" s="78"/>
      <c r="AT55" s="78"/>
      <c r="AU55" s="78"/>
      <c r="AV55" s="78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</row>
    <row r="56" spans="1:61" s="34" customFormat="1" ht="25.5" customHeight="1" x14ac:dyDescent="0.25">
      <c r="A56" s="33"/>
      <c r="B56" s="27" t="str">
        <f t="shared" si="25"/>
        <v/>
      </c>
      <c r="C56" s="32" t="str">
        <f t="shared" si="20"/>
        <v/>
      </c>
      <c r="D56" s="32" t="str">
        <f t="shared" si="26"/>
        <v/>
      </c>
      <c r="E56" s="37" t="str">
        <f t="shared" si="21"/>
        <v/>
      </c>
      <c r="F56" s="29" t="str">
        <f>IF(E56="","",IF(C56="Jul",MROUND(F55*1.03,100),IF(E56="TOTAL",SUM($F$13:F55),F55)))</f>
        <v/>
      </c>
      <c r="G56" s="29" t="str">
        <f>IF(E56="","",IF(E56="TOTAL",SUM($G$13:G55),ROUND(F56*AI56/100,0)))</f>
        <v/>
      </c>
      <c r="H56" s="38" t="str">
        <f>IF(E56="","",IF(E56="TOTAL",SUM($H$13:H55),ROUND(F56*AJ56/100,0)))</f>
        <v/>
      </c>
      <c r="I56" s="38" t="str">
        <f>IF(E56="","",IF(E56="TOTAL",SUM($I$13:I55),0))</f>
        <v/>
      </c>
      <c r="J56" s="35" t="str">
        <f t="shared" si="9"/>
        <v/>
      </c>
      <c r="K56" s="38" t="str">
        <f>IF(E56="","",IF(C56="Jul",MROUND(K55*1.03,100),IF(E56="TOTAL",SUM($K$13:K55),K55)))</f>
        <v/>
      </c>
      <c r="L56" s="38" t="str">
        <f>IF(E56="","",IF(E56="TOTAL",SUM($L$13:L55),ROUND(K56*AI56/100,0)))</f>
        <v/>
      </c>
      <c r="M56" s="38" t="str">
        <f>IF(E56="","",IF(E56="TOTAL",SUM($M$13:M55),ROUND(K56*AJ56/100,0)))</f>
        <v/>
      </c>
      <c r="N56" s="38" t="str">
        <f>IF(E56="","",IF(E56="TOTAL",SUM($N$13:N55),0))</f>
        <v/>
      </c>
      <c r="O56" s="35" t="str">
        <f t="shared" si="15"/>
        <v/>
      </c>
      <c r="P56" s="29" t="str">
        <f t="shared" si="22"/>
        <v/>
      </c>
      <c r="Q56" s="29" t="str">
        <f t="shared" si="23"/>
        <v/>
      </c>
      <c r="R56" s="29" t="str">
        <f t="shared" si="24"/>
        <v/>
      </c>
      <c r="S56" s="29" t="str">
        <f t="shared" si="10"/>
        <v/>
      </c>
      <c r="T56" s="35" t="str">
        <f t="shared" si="11"/>
        <v/>
      </c>
      <c r="U56" s="39" t="str">
        <f>IF(E56="","",IF(E56="TOTAL",SUM($U$13:U55),ROUND(F56*AK56,0)))</f>
        <v/>
      </c>
      <c r="V56" s="39" t="str">
        <f>IF(E56="","",IF(E56="TOTAL",SUM($V$13:V55),ROUND(K56*AK56,0)))</f>
        <v/>
      </c>
      <c r="W56" s="30" t="str">
        <f t="shared" si="16"/>
        <v/>
      </c>
      <c r="X56" s="87" t="str">
        <f>IF(E56="","",IF(E56="TOTAL",SUM($X$13:X55),IF(F56&lt;18001,265,IF(F56&lt;33501,440,IF(F56&lt;54001,658,875)))))</f>
        <v/>
      </c>
      <c r="Y56" s="87" t="str">
        <f>IF(E56="","",IF(E56="TOTAL",SUM($Y$13:Y55),IF(K56&lt;18001,265,IF(K56&lt;33501,440,IF(K56&lt;54001,658,875)))))</f>
        <v/>
      </c>
      <c r="Z56" s="31" t="str">
        <f>IF(E56="","",IF(E56="TOTAL",SUM($Z$13:Z55),X56-Y56))</f>
        <v/>
      </c>
      <c r="AA56" s="39" t="str">
        <f>IF(E56="","",IF(E56="TOTAL",SUM($AA$13:AA55),0))</f>
        <v/>
      </c>
      <c r="AB56" s="30" t="str">
        <f>IF(E56="","",IF(E56="TOTAL",SUM($AB$13:AB55),ROUND(T56*$Z$5,0)))</f>
        <v/>
      </c>
      <c r="AC56" s="35" t="str">
        <f t="shared" si="17"/>
        <v/>
      </c>
      <c r="AD56" s="36" t="str">
        <f t="shared" si="13"/>
        <v/>
      </c>
      <c r="AE56" s="7"/>
      <c r="AF56" s="7"/>
      <c r="AG56" s="71" t="str">
        <f t="shared" si="27"/>
        <v/>
      </c>
      <c r="AH56" s="71"/>
      <c r="AI56" s="72" t="str">
        <f>IF(OR(E56="",E56="TOTAL"),"",VLOOKUP(DATEVALUE(E56),AM56:$AR$66,2,0))</f>
        <v/>
      </c>
      <c r="AJ56" s="72" t="str">
        <f>IF(OR(E56="",E56="TOTAL"),"",VLOOKUP(DATEVALUE(E56),AM56:$AR$66,3,0))</f>
        <v/>
      </c>
      <c r="AK56" s="73" t="str">
        <f>IF(OR(E56="",E56="TOTAL"),"",VLOOKUP(DATEVALUE(E56),AM56:$AR$66,5,0))</f>
        <v/>
      </c>
      <c r="AL56" s="71"/>
      <c r="AM56" s="74">
        <v>45505</v>
      </c>
      <c r="AN56" s="64">
        <v>53</v>
      </c>
      <c r="AO56" s="64">
        <f t="shared" si="19"/>
        <v>9</v>
      </c>
      <c r="AP56" s="64"/>
      <c r="AQ56" s="65">
        <v>0.03</v>
      </c>
      <c r="AR56" s="75"/>
      <c r="AS56" s="78"/>
      <c r="AT56" s="78"/>
      <c r="AU56" s="78"/>
      <c r="AV56" s="78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</row>
    <row r="57" spans="1:61" s="34" customFormat="1" ht="25.5" customHeight="1" x14ac:dyDescent="0.25">
      <c r="A57" s="33"/>
      <c r="B57" s="27" t="str">
        <f t="shared" si="25"/>
        <v/>
      </c>
      <c r="C57" s="32" t="str">
        <f t="shared" si="20"/>
        <v/>
      </c>
      <c r="D57" s="32" t="str">
        <f t="shared" si="26"/>
        <v/>
      </c>
      <c r="E57" s="37" t="str">
        <f t="shared" si="21"/>
        <v/>
      </c>
      <c r="F57" s="29" t="str">
        <f>IF(E57="","",IF(C57="Jul",MROUND(F56*1.03,100),IF(E57="TOTAL",SUM($F$13:F56),F56)))</f>
        <v/>
      </c>
      <c r="G57" s="29" t="str">
        <f>IF(E57="","",IF(E57="TOTAL",SUM($G$13:G56),ROUND(F57*AI57/100,0)))</f>
        <v/>
      </c>
      <c r="H57" s="38" t="str">
        <f>IF(E57="","",IF(E57="TOTAL",SUM($H$13:H56),ROUND(F57*AJ57/100,0)))</f>
        <v/>
      </c>
      <c r="I57" s="38" t="str">
        <f>IF(E57="","",IF(E57="TOTAL",SUM($I$13:I56),0))</f>
        <v/>
      </c>
      <c r="J57" s="35" t="str">
        <f t="shared" si="9"/>
        <v/>
      </c>
      <c r="K57" s="38" t="str">
        <f>IF(E57="","",IF(C57="Jul",MROUND(K56*1.03,100),IF(E57="TOTAL",SUM($K$13:K56),K56)))</f>
        <v/>
      </c>
      <c r="L57" s="38" t="str">
        <f>IF(E57="","",IF(E57="TOTAL",SUM($L$13:L56),ROUND(K57*AI57/100,0)))</f>
        <v/>
      </c>
      <c r="M57" s="38" t="str">
        <f>IF(E57="","",IF(E57="TOTAL",SUM($M$13:M56),ROUND(K57*AJ57/100,0)))</f>
        <v/>
      </c>
      <c r="N57" s="38" t="str">
        <f>IF(E57="","",IF(E57="TOTAL",SUM($N$13:N56),0))</f>
        <v/>
      </c>
      <c r="O57" s="35" t="str">
        <f t="shared" si="15"/>
        <v/>
      </c>
      <c r="P57" s="29" t="str">
        <f t="shared" si="22"/>
        <v/>
      </c>
      <c r="Q57" s="29" t="str">
        <f t="shared" si="23"/>
        <v/>
      </c>
      <c r="R57" s="29" t="str">
        <f t="shared" si="24"/>
        <v/>
      </c>
      <c r="S57" s="29" t="str">
        <f t="shared" si="10"/>
        <v/>
      </c>
      <c r="T57" s="35" t="str">
        <f t="shared" si="11"/>
        <v/>
      </c>
      <c r="U57" s="39" t="str">
        <f>IF(E57="","",IF(E57="TOTAL",SUM($U$13:U56),ROUND(F57*AK57,0)))</f>
        <v/>
      </c>
      <c r="V57" s="39" t="str">
        <f>IF(E57="","",IF(E57="TOTAL",SUM($V$13:V56),ROUND(K57*AK57,0)))</f>
        <v/>
      </c>
      <c r="W57" s="30" t="str">
        <f t="shared" si="16"/>
        <v/>
      </c>
      <c r="X57" s="87" t="str">
        <f>IF(E57="","",IF(E57="TOTAL",SUM($X$13:X56),IF(F57&lt;18001,265,IF(F57&lt;33501,440,IF(F57&lt;54001,658,875)))))</f>
        <v/>
      </c>
      <c r="Y57" s="87" t="str">
        <f>IF(E57="","",IF(E57="TOTAL",SUM($Y$13:Y56),IF(K57&lt;18001,265,IF(K57&lt;33501,440,IF(K57&lt;54001,658,875)))))</f>
        <v/>
      </c>
      <c r="Z57" s="31" t="str">
        <f>IF(E57="","",IF(E57="TOTAL",SUM($Z$13:Z56),X57-Y57))</f>
        <v/>
      </c>
      <c r="AA57" s="39" t="str">
        <f>IF(E57="","",IF(E57="TOTAL",SUM($AA$13:AA56),0))</f>
        <v/>
      </c>
      <c r="AB57" s="30" t="str">
        <f>IF(E57="","",IF(E57="TOTAL",SUM($AB$13:AB56),ROUND(T57*$Z$5,0)))</f>
        <v/>
      </c>
      <c r="AC57" s="35" t="str">
        <f t="shared" si="17"/>
        <v/>
      </c>
      <c r="AD57" s="36" t="str">
        <f t="shared" si="13"/>
        <v/>
      </c>
      <c r="AE57" s="7"/>
      <c r="AF57" s="7"/>
      <c r="AG57" s="71" t="str">
        <f t="shared" si="27"/>
        <v/>
      </c>
      <c r="AH57" s="71"/>
      <c r="AI57" s="72" t="str">
        <f>IF(OR(E57="",E57="TOTAL"),"",VLOOKUP(DATEVALUE(E57),AM57:$AR$66,2,0))</f>
        <v/>
      </c>
      <c r="AJ57" s="72" t="str">
        <f>IF(OR(E57="",E57="TOTAL"),"",VLOOKUP(DATEVALUE(E57),AM57:$AR$66,3,0))</f>
        <v/>
      </c>
      <c r="AK57" s="73" t="str">
        <f>IF(OR(E57="",E57="TOTAL"),"",VLOOKUP(DATEVALUE(E57),AM57:$AR$66,5,0))</f>
        <v/>
      </c>
      <c r="AL57" s="71"/>
      <c r="AM57" s="74">
        <v>45536</v>
      </c>
      <c r="AN57" s="64">
        <v>53</v>
      </c>
      <c r="AO57" s="64">
        <f t="shared" si="19"/>
        <v>9</v>
      </c>
      <c r="AP57" s="64"/>
      <c r="AQ57" s="65">
        <v>0.03</v>
      </c>
      <c r="AR57" s="75"/>
      <c r="AS57" s="78"/>
      <c r="AT57" s="78"/>
      <c r="AU57" s="78"/>
      <c r="AV57" s="78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</row>
    <row r="58" spans="1:61" s="34" customFormat="1" ht="25.5" customHeight="1" x14ac:dyDescent="0.25">
      <c r="A58" s="33"/>
      <c r="B58" s="27" t="str">
        <f t="shared" si="25"/>
        <v/>
      </c>
      <c r="C58" s="32" t="str">
        <f t="shared" si="20"/>
        <v/>
      </c>
      <c r="D58" s="32" t="str">
        <f t="shared" si="26"/>
        <v/>
      </c>
      <c r="E58" s="37" t="str">
        <f t="shared" si="21"/>
        <v/>
      </c>
      <c r="F58" s="29" t="str">
        <f>IF(E58="","",IF(C58="Jul",MROUND(F57*1.03,100),IF(E58="TOTAL",SUM($F$13:F57),F57)))</f>
        <v/>
      </c>
      <c r="G58" s="29" t="str">
        <f>IF(E58="","",IF(E58="TOTAL",SUM($G$13:G57),ROUND(F58*AI58/100,0)))</f>
        <v/>
      </c>
      <c r="H58" s="38" t="str">
        <f>IF(E58="","",IF(E58="TOTAL",SUM($H$13:H57),ROUND(F58*AJ58/100,0)))</f>
        <v/>
      </c>
      <c r="I58" s="38" t="str">
        <f>IF(E58="","",IF(E58="TOTAL",SUM($I$13:I57),0))</f>
        <v/>
      </c>
      <c r="J58" s="35" t="str">
        <f t="shared" si="9"/>
        <v/>
      </c>
      <c r="K58" s="38" t="str">
        <f>IF(E58="","",IF(C58="Jul",MROUND(K57*1.03,100),IF(E58="TOTAL",SUM($K$13:K57),K57)))</f>
        <v/>
      </c>
      <c r="L58" s="38" t="str">
        <f>IF(E58="","",IF(E58="TOTAL",SUM($L$13:L57),ROUND(K58*AI58/100,0)))</f>
        <v/>
      </c>
      <c r="M58" s="38" t="str">
        <f>IF(E58="","",IF(E58="TOTAL",SUM($M$13:M57),ROUND(K58*AJ58/100,0)))</f>
        <v/>
      </c>
      <c r="N58" s="38" t="str">
        <f>IF(E58="","",IF(E58="TOTAL",SUM($N$13:N57),0))</f>
        <v/>
      </c>
      <c r="O58" s="35" t="str">
        <f t="shared" si="15"/>
        <v/>
      </c>
      <c r="P58" s="29" t="str">
        <f t="shared" si="22"/>
        <v/>
      </c>
      <c r="Q58" s="29" t="str">
        <f t="shared" si="23"/>
        <v/>
      </c>
      <c r="R58" s="29" t="str">
        <f t="shared" si="24"/>
        <v/>
      </c>
      <c r="S58" s="29" t="str">
        <f t="shared" si="10"/>
        <v/>
      </c>
      <c r="T58" s="35" t="str">
        <f t="shared" si="11"/>
        <v/>
      </c>
      <c r="U58" s="39" t="str">
        <f>IF(E58="","",IF(E58="TOTAL",SUM($U$13:U57),ROUND(F58*AK58,0)))</f>
        <v/>
      </c>
      <c r="V58" s="39" t="str">
        <f>IF(E58="","",IF(E58="TOTAL",SUM($V$13:V57),ROUND(K58*AK58,0)))</f>
        <v/>
      </c>
      <c r="W58" s="30" t="str">
        <f t="shared" si="16"/>
        <v/>
      </c>
      <c r="X58" s="87" t="str">
        <f>IF(E58="","",IF(E58="TOTAL",SUM($X$13:X57),IF(F58&lt;18001,265,IF(F58&lt;33501,440,IF(F58&lt;54001,658,875)))))</f>
        <v/>
      </c>
      <c r="Y58" s="87" t="str">
        <f>IF(E58="","",IF(E58="TOTAL",SUM($Y$13:Y57),IF(K58&lt;18001,265,IF(K58&lt;33501,440,IF(K58&lt;54001,658,875)))))</f>
        <v/>
      </c>
      <c r="Z58" s="31" t="str">
        <f>IF(E58="","",IF(E58="TOTAL",SUM($Z$13:Z57),X58-Y58))</f>
        <v/>
      </c>
      <c r="AA58" s="39" t="str">
        <f>IF(E58="","",IF(E58="TOTAL",SUM($AA$13:AA57),0))</f>
        <v/>
      </c>
      <c r="AB58" s="30" t="str">
        <f>IF(E58="","",IF(E58="TOTAL",SUM($AB$13:AB57),ROUND(T58*$Z$5,0)))</f>
        <v/>
      </c>
      <c r="AC58" s="35" t="str">
        <f t="shared" si="17"/>
        <v/>
      </c>
      <c r="AD58" s="36" t="str">
        <f t="shared" si="13"/>
        <v/>
      </c>
      <c r="AE58" s="7"/>
      <c r="AF58" s="7"/>
      <c r="AG58" s="71" t="str">
        <f t="shared" si="27"/>
        <v/>
      </c>
      <c r="AH58" s="71"/>
      <c r="AI58" s="72" t="str">
        <f>IF(OR(E58="",E58="TOTAL"),"",VLOOKUP(DATEVALUE(E58),AM58:$AR$66,2,0))</f>
        <v/>
      </c>
      <c r="AJ58" s="72" t="str">
        <f>IF(OR(E58="",E58="TOTAL"),"",VLOOKUP(DATEVALUE(E58),AM58:$AR$66,3,0))</f>
        <v/>
      </c>
      <c r="AK58" s="73" t="str">
        <f>IF(OR(E58="",E58="TOTAL"),"",VLOOKUP(DATEVALUE(E58),AM58:$AR$66,5,0))</f>
        <v/>
      </c>
      <c r="AL58" s="71"/>
      <c r="AM58" s="74">
        <v>45566</v>
      </c>
      <c r="AN58" s="64">
        <v>53</v>
      </c>
      <c r="AO58" s="64">
        <f t="shared" si="19"/>
        <v>9</v>
      </c>
      <c r="AP58" s="64"/>
      <c r="AQ58" s="65">
        <v>0.03</v>
      </c>
      <c r="AR58" s="75"/>
      <c r="AS58" s="78"/>
      <c r="AT58" s="78"/>
      <c r="AU58" s="78"/>
      <c r="AV58" s="78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</row>
    <row r="59" spans="1:61" s="34" customFormat="1" ht="25.5" customHeight="1" x14ac:dyDescent="0.25">
      <c r="A59" s="33"/>
      <c r="B59" s="27" t="str">
        <f t="shared" si="25"/>
        <v/>
      </c>
      <c r="C59" s="32" t="str">
        <f t="shared" si="20"/>
        <v/>
      </c>
      <c r="D59" s="32" t="str">
        <f t="shared" si="26"/>
        <v/>
      </c>
      <c r="E59" s="37" t="str">
        <f t="shared" si="21"/>
        <v/>
      </c>
      <c r="F59" s="29" t="str">
        <f>IF(E59="","",IF(C59="Jul",MROUND(F58*1.03,100),IF(E59="TOTAL",SUM($F$13:F58),F58)))</f>
        <v/>
      </c>
      <c r="G59" s="29" t="str">
        <f>IF(E59="","",IF(E59="TOTAL",SUM($G$13:G58),ROUND(F59*AI59/100,0)))</f>
        <v/>
      </c>
      <c r="H59" s="38" t="str">
        <f>IF(E59="","",IF(E59="TOTAL",SUM($H$13:H58),ROUND(F59*AJ59/100,0)))</f>
        <v/>
      </c>
      <c r="I59" s="38" t="str">
        <f>IF(E59="","",IF(E59="TOTAL",SUM($I$13:I58),0))</f>
        <v/>
      </c>
      <c r="J59" s="35" t="str">
        <f t="shared" si="9"/>
        <v/>
      </c>
      <c r="K59" s="38" t="str">
        <f>IF(E59="","",IF(C59="Jul",MROUND(K58*1.03,100),IF(E59="TOTAL",SUM($K$13:K58),K58)))</f>
        <v/>
      </c>
      <c r="L59" s="38" t="str">
        <f>IF(E59="","",IF(E59="TOTAL",SUM($L$13:L58),ROUND(K59*AI59/100,0)))</f>
        <v/>
      </c>
      <c r="M59" s="38" t="str">
        <f>IF(E59="","",IF(E59="TOTAL",SUM($M$13:M58),ROUND(K59*AJ59/100,0)))</f>
        <v/>
      </c>
      <c r="N59" s="38" t="str">
        <f>IF(E59="","",IF(E59="TOTAL",SUM($N$13:N58),0))</f>
        <v/>
      </c>
      <c r="O59" s="35" t="str">
        <f t="shared" si="15"/>
        <v/>
      </c>
      <c r="P59" s="29" t="str">
        <f t="shared" si="22"/>
        <v/>
      </c>
      <c r="Q59" s="29" t="str">
        <f t="shared" si="23"/>
        <v/>
      </c>
      <c r="R59" s="29" t="str">
        <f t="shared" si="24"/>
        <v/>
      </c>
      <c r="S59" s="29" t="str">
        <f t="shared" si="10"/>
        <v/>
      </c>
      <c r="T59" s="35" t="str">
        <f t="shared" si="11"/>
        <v/>
      </c>
      <c r="U59" s="39" t="str">
        <f>IF(E59="","",IF(E59="TOTAL",SUM($U$13:U58),ROUND(F59*AK59,0)))</f>
        <v/>
      </c>
      <c r="V59" s="39" t="str">
        <f>IF(E59="","",IF(E59="TOTAL",SUM($V$13:V58),ROUND(K59*AK59,0)))</f>
        <v/>
      </c>
      <c r="W59" s="30" t="str">
        <f t="shared" si="16"/>
        <v/>
      </c>
      <c r="X59" s="87" t="str">
        <f>IF(E59="","",IF(E59="TOTAL",SUM($X$13:X58),IF(F59&lt;18001,265,IF(F59&lt;33501,440,IF(F59&lt;54001,658,875)))))</f>
        <v/>
      </c>
      <c r="Y59" s="87" t="str">
        <f>IF(E59="","",IF(E59="TOTAL",SUM($Y$13:Y58),IF(K59&lt;18001,265,IF(K59&lt;33501,440,IF(K59&lt;54001,658,875)))))</f>
        <v/>
      </c>
      <c r="Z59" s="31" t="str">
        <f>IF(E59="","",IF(E59="TOTAL",SUM($Z$13:Z58),X59-Y59))</f>
        <v/>
      </c>
      <c r="AA59" s="39" t="str">
        <f>IF(E59="","",IF(E59="TOTAL",SUM($AA$13:AA58),0))</f>
        <v/>
      </c>
      <c r="AB59" s="30" t="str">
        <f>IF(E59="","",IF(E59="TOTAL",SUM($AB$13:AB58),ROUND(T59*$Z$5,0)))</f>
        <v/>
      </c>
      <c r="AC59" s="35" t="str">
        <f t="shared" si="17"/>
        <v/>
      </c>
      <c r="AD59" s="36" t="str">
        <f t="shared" si="13"/>
        <v/>
      </c>
      <c r="AE59" s="7"/>
      <c r="AF59" s="7"/>
      <c r="AG59" s="71" t="str">
        <f t="shared" si="27"/>
        <v/>
      </c>
      <c r="AH59" s="71"/>
      <c r="AI59" s="72" t="str">
        <f>IF(OR(E59="",E59="TOTAL"),"",VLOOKUP(DATEVALUE(E59),AM59:$AR$66,2,0))</f>
        <v/>
      </c>
      <c r="AJ59" s="72" t="str">
        <f>IF(OR(E59="",E59="TOTAL"),"",VLOOKUP(DATEVALUE(E59),AM59:$AR$66,3,0))</f>
        <v/>
      </c>
      <c r="AK59" s="73" t="str">
        <f>IF(OR(E59="",E59="TOTAL"),"",VLOOKUP(DATEVALUE(E59),AM59:$AR$66,5,0))</f>
        <v/>
      </c>
      <c r="AL59" s="71"/>
      <c r="AM59" s="74">
        <v>45597</v>
      </c>
      <c r="AN59" s="64">
        <v>53</v>
      </c>
      <c r="AO59" s="64">
        <v>10</v>
      </c>
      <c r="AP59" s="64"/>
      <c r="AQ59" s="65"/>
      <c r="AR59" s="75"/>
      <c r="AS59" s="78"/>
      <c r="AT59" s="78"/>
      <c r="AU59" s="78"/>
      <c r="AV59" s="78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</row>
    <row r="60" spans="1:61" s="34" customFormat="1" ht="25.5" customHeight="1" x14ac:dyDescent="0.25">
      <c r="A60" s="33"/>
      <c r="B60" s="27" t="str">
        <f t="shared" si="25"/>
        <v/>
      </c>
      <c r="C60" s="32" t="str">
        <f t="shared" si="20"/>
        <v/>
      </c>
      <c r="D60" s="32" t="str">
        <f t="shared" si="26"/>
        <v/>
      </c>
      <c r="E60" s="37" t="str">
        <f t="shared" si="21"/>
        <v/>
      </c>
      <c r="F60" s="29" t="str">
        <f>IF(E60="","",IF(C60="Jul",MROUND(F59*1.03,100),IF(E60="TOTAL",SUM($F$13:F59),F59)))</f>
        <v/>
      </c>
      <c r="G60" s="29" t="str">
        <f>IF(E60="","",IF(E60="TOTAL",SUM($G$13:G59),ROUND(F60*AI60/100,0)))</f>
        <v/>
      </c>
      <c r="H60" s="38" t="str">
        <f>IF(E60="","",IF(E60="TOTAL",SUM($H$13:H59),ROUND(F60*AJ60/100,0)))</f>
        <v/>
      </c>
      <c r="I60" s="38" t="str">
        <f>IF(E60="","",IF(E60="TOTAL",SUM($I$13:I59),0))</f>
        <v/>
      </c>
      <c r="J60" s="35" t="str">
        <f t="shared" si="9"/>
        <v/>
      </c>
      <c r="K60" s="38" t="str">
        <f>IF(E60="","",IF(C60="Jul",MROUND(K59*1.03,100),IF(E60="TOTAL",SUM($K$13:K59),K59)))</f>
        <v/>
      </c>
      <c r="L60" s="38" t="str">
        <f>IF(E60="","",IF(E60="TOTAL",SUM($L$13:L59),ROUND(K60*AI60/100,0)))</f>
        <v/>
      </c>
      <c r="M60" s="38" t="str">
        <f>IF(E60="","",IF(E60="TOTAL",SUM($M$13:M59),ROUND(K60*AJ60/100,0)))</f>
        <v/>
      </c>
      <c r="N60" s="38" t="str">
        <f>IF(E60="","",IF(E60="TOTAL",SUM($N$13:N59),0))</f>
        <v/>
      </c>
      <c r="O60" s="35" t="str">
        <f t="shared" si="15"/>
        <v/>
      </c>
      <c r="P60" s="29" t="str">
        <f t="shared" si="22"/>
        <v/>
      </c>
      <c r="Q60" s="29" t="str">
        <f t="shared" si="23"/>
        <v/>
      </c>
      <c r="R60" s="29" t="str">
        <f t="shared" si="24"/>
        <v/>
      </c>
      <c r="S60" s="29" t="str">
        <f t="shared" si="10"/>
        <v/>
      </c>
      <c r="T60" s="35" t="str">
        <f t="shared" si="11"/>
        <v/>
      </c>
      <c r="U60" s="39" t="str">
        <f>IF(E60="","",IF(E60="TOTAL",SUM($U$13:U59),ROUND(F60*AK60,0)))</f>
        <v/>
      </c>
      <c r="V60" s="39" t="str">
        <f>IF(E60="","",IF(E60="TOTAL",SUM($V$13:V59),ROUND(K60*AK60,0)))</f>
        <v/>
      </c>
      <c r="W60" s="30" t="str">
        <f t="shared" si="16"/>
        <v/>
      </c>
      <c r="X60" s="87" t="str">
        <f>IF(E60="","",IF(E60="TOTAL",SUM($X$13:X59),IF(F60&lt;18001,265,IF(F60&lt;33501,440,IF(F60&lt;54001,658,875)))))</f>
        <v/>
      </c>
      <c r="Y60" s="87" t="str">
        <f>IF(E60="","",IF(E60="TOTAL",SUM($Y$13:Y59),IF(K60&lt;18001,265,IF(K60&lt;33501,440,IF(K60&lt;54001,658,875)))))</f>
        <v/>
      </c>
      <c r="Z60" s="31" t="str">
        <f>IF(E60="","",IF(E60="TOTAL",SUM($Z$13:Z59),X60-Y60))</f>
        <v/>
      </c>
      <c r="AA60" s="39" t="str">
        <f>IF(E60="","",IF(E60="TOTAL",SUM($AA$13:AA59),0))</f>
        <v/>
      </c>
      <c r="AB60" s="30" t="str">
        <f>IF(E60="","",IF(E60="TOTAL",SUM($AB$13:AB59),ROUND(T60*$Z$5,0)))</f>
        <v/>
      </c>
      <c r="AC60" s="35" t="str">
        <f t="shared" si="17"/>
        <v/>
      </c>
      <c r="AD60" s="36" t="str">
        <f t="shared" si="13"/>
        <v/>
      </c>
      <c r="AE60" s="7"/>
      <c r="AF60" s="7"/>
      <c r="AG60" s="71" t="str">
        <f t="shared" si="27"/>
        <v/>
      </c>
      <c r="AH60" s="71"/>
      <c r="AI60" s="72" t="str">
        <f>IF(OR(E60="",E60="TOTAL"),"",VLOOKUP(DATEVALUE(E60),AM60:$AR$66,2,0))</f>
        <v/>
      </c>
      <c r="AJ60" s="72" t="str">
        <f>IF(OR(E60="",E60="TOTAL"),"",VLOOKUP(DATEVALUE(E60),AM60:$AR$66,3,0))</f>
        <v/>
      </c>
      <c r="AK60" s="73" t="str">
        <f>IF(OR(E60="",E60="TOTAL"),"",VLOOKUP(DATEVALUE(E60),AM60:$AR$66,5,0))</f>
        <v/>
      </c>
      <c r="AL60" s="71"/>
      <c r="AM60" s="74">
        <v>45627</v>
      </c>
      <c r="AN60" s="64">
        <v>53</v>
      </c>
      <c r="AO60" s="64">
        <v>10</v>
      </c>
      <c r="AP60" s="64"/>
      <c r="AQ60" s="65"/>
      <c r="AR60" s="75"/>
      <c r="AS60" s="78"/>
      <c r="AT60" s="78"/>
      <c r="AU60" s="78"/>
      <c r="AV60" s="78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</row>
    <row r="61" spans="1:61" s="34" customFormat="1" ht="25.5" customHeight="1" x14ac:dyDescent="0.25">
      <c r="A61" s="33"/>
      <c r="B61" s="27" t="str">
        <f t="shared" si="25"/>
        <v/>
      </c>
      <c r="C61" s="32" t="str">
        <f t="shared" si="20"/>
        <v/>
      </c>
      <c r="D61" s="32" t="str">
        <f t="shared" si="26"/>
        <v/>
      </c>
      <c r="E61" s="37" t="str">
        <f t="shared" si="21"/>
        <v/>
      </c>
      <c r="F61" s="29" t="str">
        <f>IF(E61="","",IF(C61="Jul",MROUND(F60*1.03,100),IF(E61="TOTAL",SUM($F$13:F60),F60)))</f>
        <v/>
      </c>
      <c r="G61" s="29" t="str">
        <f>IF(E61="","",IF(E61="TOTAL",SUM($G$13:G60),ROUND(F61*AI61/100,0)))</f>
        <v/>
      </c>
      <c r="H61" s="38" t="str">
        <f>IF(E61="","",IF(E61="TOTAL",SUM($H$13:H60),ROUND(F61*AJ61/100,0)))</f>
        <v/>
      </c>
      <c r="I61" s="38" t="str">
        <f>IF(E61="","",IF(E61="TOTAL",SUM($I$13:I60),0))</f>
        <v/>
      </c>
      <c r="J61" s="35" t="str">
        <f t="shared" si="9"/>
        <v/>
      </c>
      <c r="K61" s="38" t="str">
        <f>IF(E61="","",IF(C61="Jul",MROUND(K60*1.03,100),IF(E61="TOTAL",SUM($K$13:K60),K60)))</f>
        <v/>
      </c>
      <c r="L61" s="38" t="str">
        <f>IF(E61="","",IF(E61="TOTAL",SUM($L$13:L60),ROUND(K61*AI61/100,0)))</f>
        <v/>
      </c>
      <c r="M61" s="38" t="str">
        <f>IF(E61="","",IF(E61="TOTAL",SUM($M$13:M60),ROUND(K61*AJ61/100,0)))</f>
        <v/>
      </c>
      <c r="N61" s="38" t="str">
        <f>IF(E61="","",IF(E61="TOTAL",SUM($N$13:N60),0))</f>
        <v/>
      </c>
      <c r="O61" s="35" t="str">
        <f t="shared" si="15"/>
        <v/>
      </c>
      <c r="P61" s="29" t="str">
        <f t="shared" si="22"/>
        <v/>
      </c>
      <c r="Q61" s="29" t="str">
        <f t="shared" si="23"/>
        <v/>
      </c>
      <c r="R61" s="29" t="str">
        <f t="shared" si="24"/>
        <v/>
      </c>
      <c r="S61" s="29" t="str">
        <f t="shared" si="10"/>
        <v/>
      </c>
      <c r="T61" s="35" t="str">
        <f t="shared" si="11"/>
        <v/>
      </c>
      <c r="U61" s="39" t="str">
        <f>IF(E61="","",IF(E61="TOTAL",SUM($U$13:U60),ROUND(F61*AK61,0)))</f>
        <v/>
      </c>
      <c r="V61" s="39" t="str">
        <f>IF(E61="","",IF(E61="TOTAL",SUM($V$13:V60),ROUND(K61*AK61,0)))</f>
        <v/>
      </c>
      <c r="W61" s="30" t="str">
        <f t="shared" si="16"/>
        <v/>
      </c>
      <c r="X61" s="87" t="str">
        <f>IF(E61="","",IF(E61="TOTAL",SUM($X$13:X60),IF(F61&lt;18001,265,IF(F61&lt;33501,440,IF(F61&lt;54001,658,875)))))</f>
        <v/>
      </c>
      <c r="Y61" s="87" t="str">
        <f>IF(E61="","",IF(E61="TOTAL",SUM($Y$13:Y60),IF(K61&lt;18001,265,IF(K61&lt;33501,440,IF(K61&lt;54001,658,875)))))</f>
        <v/>
      </c>
      <c r="Z61" s="31" t="str">
        <f>IF(E61="","",IF(E61="TOTAL",SUM($Z$13:Z60),X61-Y61))</f>
        <v/>
      </c>
      <c r="AA61" s="39" t="str">
        <f>IF(E61="","",IF(E61="TOTAL",SUM($AA$13:AA60),0))</f>
        <v/>
      </c>
      <c r="AB61" s="30" t="str">
        <f>IF(E61="","",IF(E61="TOTAL",SUM($AB$13:AB60),ROUND(T61*$Z$5,0)))</f>
        <v/>
      </c>
      <c r="AC61" s="35" t="str">
        <f t="shared" si="17"/>
        <v/>
      </c>
      <c r="AD61" s="36" t="str">
        <f t="shared" si="13"/>
        <v/>
      </c>
      <c r="AE61" s="7"/>
      <c r="AF61" s="7"/>
      <c r="AG61" s="71" t="str">
        <f t="shared" si="27"/>
        <v/>
      </c>
      <c r="AH61" s="71"/>
      <c r="AI61" s="72" t="str">
        <f>IF(OR(E61="",E61="TOTAL"),"",VLOOKUP(DATEVALUE(E61),AM61:$AR$66,2,0))</f>
        <v/>
      </c>
      <c r="AJ61" s="72" t="str">
        <f>IF(OR(E61="",E61="TOTAL"),"",VLOOKUP(DATEVALUE(E61),AM61:$AR$66,3,0))</f>
        <v/>
      </c>
      <c r="AK61" s="73" t="str">
        <f>IF(OR(E61="",E61="TOTAL"),"",VLOOKUP(DATEVALUE(E61),AM61:$AR$66,5,0))</f>
        <v/>
      </c>
      <c r="AL61" s="71"/>
      <c r="AM61" s="74">
        <v>45658</v>
      </c>
      <c r="AN61" s="64">
        <v>53</v>
      </c>
      <c r="AO61" s="64">
        <v>10</v>
      </c>
      <c r="AP61" s="64"/>
      <c r="AQ61" s="65"/>
      <c r="AR61" s="75"/>
      <c r="AS61" s="78"/>
      <c r="AT61" s="78"/>
      <c r="AU61" s="78"/>
      <c r="AV61" s="78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</row>
    <row r="62" spans="1:61" s="34" customFormat="1" ht="25.5" customHeight="1" x14ac:dyDescent="0.25">
      <c r="A62" s="33"/>
      <c r="B62" s="27" t="str">
        <f t="shared" si="25"/>
        <v/>
      </c>
      <c r="C62" s="32" t="str">
        <f t="shared" si="20"/>
        <v/>
      </c>
      <c r="D62" s="32" t="str">
        <f t="shared" si="26"/>
        <v/>
      </c>
      <c r="E62" s="37" t="str">
        <f t="shared" si="21"/>
        <v/>
      </c>
      <c r="F62" s="29" t="str">
        <f>IF(E62="","",IF(C62="Jul",MROUND(F61*1.03,100),IF(E62="TOTAL",SUM($F$13:F61),F61)))</f>
        <v/>
      </c>
      <c r="G62" s="29" t="str">
        <f>IF(E62="","",IF(E62="TOTAL",SUM($G$13:G61),ROUND(F62*AI62/100,0)))</f>
        <v/>
      </c>
      <c r="H62" s="38" t="str">
        <f>IF(E62="","",IF(E62="TOTAL",SUM($H$13:H61),ROUND(F62*AJ62/100,0)))</f>
        <v/>
      </c>
      <c r="I62" s="38" t="str">
        <f>IF(E62="","",IF(E62="TOTAL",SUM($I$13:I61),0))</f>
        <v/>
      </c>
      <c r="J62" s="35" t="str">
        <f t="shared" si="9"/>
        <v/>
      </c>
      <c r="K62" s="38" t="str">
        <f>IF(E62="","",IF(C62="Jul",MROUND(K61*1.03,100),IF(E62="TOTAL",SUM($K$13:K61),K61)))</f>
        <v/>
      </c>
      <c r="L62" s="38" t="str">
        <f>IF(E62="","",IF(E62="TOTAL",SUM($L$13:L61),ROUND(K62*AI62/100,0)))</f>
        <v/>
      </c>
      <c r="M62" s="38" t="str">
        <f>IF(E62="","",IF(E62="TOTAL",SUM($M$13:M61),ROUND(K62*AJ62/100,0)))</f>
        <v/>
      </c>
      <c r="N62" s="38" t="str">
        <f>IF(E62="","",IF(E62="TOTAL",SUM($N$13:N61),0))</f>
        <v/>
      </c>
      <c r="O62" s="35" t="str">
        <f t="shared" si="15"/>
        <v/>
      </c>
      <c r="P62" s="29" t="str">
        <f t="shared" si="22"/>
        <v/>
      </c>
      <c r="Q62" s="29" t="str">
        <f t="shared" si="23"/>
        <v/>
      </c>
      <c r="R62" s="29" t="str">
        <f t="shared" si="24"/>
        <v/>
      </c>
      <c r="S62" s="29" t="str">
        <f t="shared" si="10"/>
        <v/>
      </c>
      <c r="T62" s="35" t="str">
        <f t="shared" si="11"/>
        <v/>
      </c>
      <c r="U62" s="39" t="str">
        <f>IF(E62="","",IF(E62="TOTAL",SUM($U$13:U61),ROUND(F62*AK62,0)))</f>
        <v/>
      </c>
      <c r="V62" s="39" t="str">
        <f>IF(E62="","",IF(E62="TOTAL",SUM($V$13:V61),ROUND(K62*AK62,0)))</f>
        <v/>
      </c>
      <c r="W62" s="30" t="str">
        <f t="shared" si="16"/>
        <v/>
      </c>
      <c r="X62" s="87" t="str">
        <f>IF(E62="","",IF(E62="TOTAL",SUM($X$13:X61),IF(F62&lt;18001,265,IF(F62&lt;33501,440,IF(F62&lt;54001,658,875)))))</f>
        <v/>
      </c>
      <c r="Y62" s="87" t="str">
        <f>IF(E62="","",IF(E62="TOTAL",SUM($Y$13:Y61),IF(K62&lt;18001,265,IF(K62&lt;33501,440,IF(K62&lt;54001,658,875)))))</f>
        <v/>
      </c>
      <c r="Z62" s="31" t="str">
        <f>IF(E62="","",IF(E62="TOTAL",SUM($Z$13:Z61),X62-Y62))</f>
        <v/>
      </c>
      <c r="AA62" s="39" t="str">
        <f>IF(E62="","",IF(E62="TOTAL",SUM($AA$13:AA61),0))</f>
        <v/>
      </c>
      <c r="AB62" s="30" t="str">
        <f>IF(E62="","",IF(E62="TOTAL",SUM($AB$13:AB61),ROUND(T62*$Z$5,0)))</f>
        <v/>
      </c>
      <c r="AC62" s="35" t="str">
        <f t="shared" si="17"/>
        <v/>
      </c>
      <c r="AD62" s="36" t="str">
        <f t="shared" si="13"/>
        <v/>
      </c>
      <c r="AE62" s="7"/>
      <c r="AF62" s="7"/>
      <c r="AG62" s="71" t="str">
        <f t="shared" si="27"/>
        <v/>
      </c>
      <c r="AH62" s="71"/>
      <c r="AI62" s="72" t="str">
        <f>IF(OR(E62="",E62="TOTAL"),"",VLOOKUP(DATEVALUE(E62),AM62:$AR$66,2,0))</f>
        <v/>
      </c>
      <c r="AJ62" s="72" t="str">
        <f>IF(OR(E62="",E62="TOTAL"),"",VLOOKUP(DATEVALUE(E62),AM62:$AR$66,3,0))</f>
        <v/>
      </c>
      <c r="AK62" s="73" t="str">
        <f>IF(OR(E62="",E62="TOTAL"),"",VLOOKUP(DATEVALUE(E62),AM62:$AR$66,5,0))</f>
        <v/>
      </c>
      <c r="AL62" s="71"/>
      <c r="AM62" s="74">
        <v>45689</v>
      </c>
      <c r="AN62" s="64">
        <v>53</v>
      </c>
      <c r="AO62" s="64">
        <v>10</v>
      </c>
      <c r="AP62" s="64"/>
      <c r="AQ62" s="65"/>
      <c r="AR62" s="75"/>
      <c r="AS62" s="78"/>
      <c r="AT62" s="78"/>
      <c r="AU62" s="78"/>
      <c r="AV62" s="78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</row>
    <row r="63" spans="1:61" s="34" customFormat="1" ht="25.5" customHeight="1" x14ac:dyDescent="0.25">
      <c r="A63" s="33"/>
      <c r="B63" s="27" t="str">
        <f t="shared" si="25"/>
        <v/>
      </c>
      <c r="C63" s="32" t="str">
        <f t="shared" si="20"/>
        <v/>
      </c>
      <c r="D63" s="32" t="str">
        <f t="shared" si="26"/>
        <v/>
      </c>
      <c r="E63" s="37" t="str">
        <f t="shared" si="21"/>
        <v/>
      </c>
      <c r="F63" s="29" t="str">
        <f>IF(E63="","",IF(C63="Jul",MROUND(F62*1.03,100),IF(E63="TOTAL",SUM($F$13:F62),F62)))</f>
        <v/>
      </c>
      <c r="G63" s="29" t="str">
        <f>IF(E63="","",IF(E63="TOTAL",SUM($G$13:G62),ROUND(F63*AI63/100,0)))</f>
        <v/>
      </c>
      <c r="H63" s="38" t="str">
        <f>IF(E63="","",IF(E63="TOTAL",SUM($H$13:H62),ROUND(F63*AJ63/100,0)))</f>
        <v/>
      </c>
      <c r="I63" s="38" t="str">
        <f>IF(E63="","",IF(E63="TOTAL",SUM($I$13:I62),0))</f>
        <v/>
      </c>
      <c r="J63" s="35" t="str">
        <f t="shared" si="9"/>
        <v/>
      </c>
      <c r="K63" s="38" t="str">
        <f>IF(E63="","",IF(C63="Jul",MROUND(K62*1.03,100),IF(E63="TOTAL",SUM($K$13:K62),K62)))</f>
        <v/>
      </c>
      <c r="L63" s="38" t="str">
        <f>IF(E63="","",IF(E63="TOTAL",SUM($L$13:L62),ROUND(K63*AI63/100,0)))</f>
        <v/>
      </c>
      <c r="M63" s="38" t="str">
        <f>IF(E63="","",IF(E63="TOTAL",SUM($M$13:M62),ROUND(K63*AJ63/100,0)))</f>
        <v/>
      </c>
      <c r="N63" s="38" t="str">
        <f>IF(E63="","",IF(E63="TOTAL",SUM($N$13:N62),0))</f>
        <v/>
      </c>
      <c r="O63" s="35" t="str">
        <f t="shared" si="15"/>
        <v/>
      </c>
      <c r="P63" s="29" t="str">
        <f t="shared" si="22"/>
        <v/>
      </c>
      <c r="Q63" s="29" t="str">
        <f t="shared" si="23"/>
        <v/>
      </c>
      <c r="R63" s="29" t="str">
        <f t="shared" si="24"/>
        <v/>
      </c>
      <c r="S63" s="29" t="str">
        <f t="shared" si="10"/>
        <v/>
      </c>
      <c r="T63" s="35" t="str">
        <f t="shared" si="11"/>
        <v/>
      </c>
      <c r="U63" s="39" t="str">
        <f>IF(E63="","",IF(E63="TOTAL",SUM($U$13:U62),ROUND(F63*AK63,0)))</f>
        <v/>
      </c>
      <c r="V63" s="39" t="str">
        <f>IF(E63="","",IF(E63="TOTAL",SUM($V$13:V62),ROUND(K63*AK63,0)))</f>
        <v/>
      </c>
      <c r="W63" s="30" t="str">
        <f t="shared" si="16"/>
        <v/>
      </c>
      <c r="X63" s="87" t="str">
        <f>IF(E63="","",IF(E63="TOTAL",SUM($X$13:X62),IF(F63&lt;18001,265,IF(F63&lt;33501,440,IF(F63&lt;54001,658,875)))))</f>
        <v/>
      </c>
      <c r="Y63" s="87" t="str">
        <f>IF(E63="","",IF(E63="TOTAL",SUM($Y$13:Y62),IF(K63&lt;18001,265,IF(K63&lt;33501,440,IF(K63&lt;54001,658,875)))))</f>
        <v/>
      </c>
      <c r="Z63" s="31" t="str">
        <f>IF(E63="","",IF(E63="TOTAL",SUM($Z$13:Z62),X63-Y63))</f>
        <v/>
      </c>
      <c r="AA63" s="39" t="str">
        <f>IF(E63="","",IF(E63="TOTAL",SUM($AA$13:AA62),0))</f>
        <v/>
      </c>
      <c r="AB63" s="30" t="str">
        <f>IF(E63="","",IF(E63="TOTAL",SUM($AB$13:AB62),ROUND(T63*$Z$5,0)))</f>
        <v/>
      </c>
      <c r="AC63" s="35" t="str">
        <f t="shared" si="17"/>
        <v/>
      </c>
      <c r="AD63" s="36" t="str">
        <f t="shared" si="13"/>
        <v/>
      </c>
      <c r="AE63" s="7"/>
      <c r="AF63" s="7"/>
      <c r="AG63" s="71" t="str">
        <f t="shared" si="27"/>
        <v/>
      </c>
      <c r="AH63" s="71"/>
      <c r="AI63" s="72" t="str">
        <f>IF(OR(E63="",E63="TOTAL"),"",VLOOKUP(DATEVALUE(E63),AM63:$AR$66,2,0))</f>
        <v/>
      </c>
      <c r="AJ63" s="72" t="str">
        <f>IF(OR(E63="",E63="TOTAL"),"",VLOOKUP(DATEVALUE(E63),AM63:$AR$66,3,0))</f>
        <v/>
      </c>
      <c r="AK63" s="73" t="str">
        <f>IF(OR(E63="",E63="TOTAL"),"",VLOOKUP(DATEVALUE(E63),AM63:$AR$66,5,0))</f>
        <v/>
      </c>
      <c r="AL63" s="71"/>
      <c r="AM63" s="74">
        <v>45717</v>
      </c>
      <c r="AN63" s="64">
        <v>53</v>
      </c>
      <c r="AO63" s="64">
        <v>10</v>
      </c>
      <c r="AP63" s="64"/>
      <c r="AQ63" s="65"/>
      <c r="AR63" s="75"/>
      <c r="AS63" s="78"/>
      <c r="AT63" s="78"/>
      <c r="AU63" s="78"/>
      <c r="AV63" s="78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</row>
    <row r="64" spans="1:61" s="34" customFormat="1" ht="25.5" customHeight="1" x14ac:dyDescent="0.25">
      <c r="A64" s="33"/>
      <c r="B64" s="27" t="str">
        <f t="shared" si="25"/>
        <v/>
      </c>
      <c r="C64" s="32" t="str">
        <f t="shared" si="20"/>
        <v/>
      </c>
      <c r="D64" s="32" t="str">
        <f t="shared" si="26"/>
        <v/>
      </c>
      <c r="E64" s="37" t="str">
        <f t="shared" si="21"/>
        <v/>
      </c>
      <c r="F64" s="29" t="str">
        <f>IF(E64="","",IF(C64="Jul",MROUND(F63*1.03,100),IF(E64="TOTAL",SUM($F$13:F63),F63)))</f>
        <v/>
      </c>
      <c r="G64" s="29" t="str">
        <f>IF(E64="","",IF(E64="TOTAL",SUM($G$13:G63),ROUND(F64*AI64/100,0)))</f>
        <v/>
      </c>
      <c r="H64" s="38" t="str">
        <f>IF(E64="","",IF(E64="TOTAL",SUM($H$13:H63),ROUND(F64*AJ64/100,0)))</f>
        <v/>
      </c>
      <c r="I64" s="38" t="str">
        <f>IF(E64="","",IF(E64="TOTAL",SUM($I$13:I63),0))</f>
        <v/>
      </c>
      <c r="J64" s="35" t="str">
        <f t="shared" si="9"/>
        <v/>
      </c>
      <c r="K64" s="38" t="str">
        <f>IF(E64="","",IF(C64="Jul",MROUND(K63*1.03,100),IF(E64="TOTAL",SUM($K$13:K63),K63)))</f>
        <v/>
      </c>
      <c r="L64" s="38" t="str">
        <f>IF(E64="","",IF(E64="TOTAL",SUM($L$13:L63),ROUND(K64*AI64/100,0)))</f>
        <v/>
      </c>
      <c r="M64" s="38" t="str">
        <f>IF(E64="","",IF(E64="TOTAL",SUM($M$13:M63),ROUND(K64*AJ64/100,0)))</f>
        <v/>
      </c>
      <c r="N64" s="38" t="str">
        <f>IF(E64="","",IF(E64="TOTAL",SUM($N$13:N63),0))</f>
        <v/>
      </c>
      <c r="O64" s="35" t="str">
        <f t="shared" si="15"/>
        <v/>
      </c>
      <c r="P64" s="29" t="str">
        <f t="shared" si="22"/>
        <v/>
      </c>
      <c r="Q64" s="29" t="str">
        <f t="shared" si="23"/>
        <v/>
      </c>
      <c r="R64" s="29" t="str">
        <f t="shared" si="24"/>
        <v/>
      </c>
      <c r="S64" s="29" t="str">
        <f t="shared" si="10"/>
        <v/>
      </c>
      <c r="T64" s="35" t="str">
        <f t="shared" si="11"/>
        <v/>
      </c>
      <c r="U64" s="39" t="str">
        <f>IF(E64="","",IF(E64="TOTAL",SUM($U$13:U63),ROUND(F64*AK64,0)))</f>
        <v/>
      </c>
      <c r="V64" s="39" t="str">
        <f>IF(E64="","",IF(E64="TOTAL",SUM($V$13:V63),ROUND(K64*AK64,0)))</f>
        <v/>
      </c>
      <c r="W64" s="30" t="str">
        <f t="shared" si="16"/>
        <v/>
      </c>
      <c r="X64" s="87" t="str">
        <f>IF(E64="","",IF(E64="TOTAL",SUM($X$13:X63),IF(F64&lt;18001,265,IF(F64&lt;33501,440,IF(F64&lt;54001,658,875)))))</f>
        <v/>
      </c>
      <c r="Y64" s="87" t="str">
        <f>IF(E64="","",IF(E64="TOTAL",SUM($Y$13:Y63),IF(K64&lt;18001,265,IF(K64&lt;33501,440,IF(K64&lt;54001,658,875)))))</f>
        <v/>
      </c>
      <c r="Z64" s="31" t="str">
        <f>IF(E64="","",IF(E64="TOTAL",SUM($Z$13:Z63),X64-Y64))</f>
        <v/>
      </c>
      <c r="AA64" s="39" t="str">
        <f>IF(E64="","",IF(E64="TOTAL",SUM($AA$13:AA63),0))</f>
        <v/>
      </c>
      <c r="AB64" s="30" t="str">
        <f>IF(E64="","",IF(E64="TOTAL",SUM($AB$13:AB63),ROUND(T64*$Z$5,0)))</f>
        <v/>
      </c>
      <c r="AC64" s="35" t="str">
        <f t="shared" si="17"/>
        <v/>
      </c>
      <c r="AD64" s="36" t="str">
        <f t="shared" si="13"/>
        <v/>
      </c>
      <c r="AE64" s="7"/>
      <c r="AF64" s="7"/>
      <c r="AG64" s="71" t="str">
        <f t="shared" si="27"/>
        <v/>
      </c>
      <c r="AH64" s="71"/>
      <c r="AI64" s="72" t="str">
        <f>IF(OR(E64="",E64="TOTAL"),"",VLOOKUP(DATEVALUE(E64),AM64:$AR$66,2,0))</f>
        <v/>
      </c>
      <c r="AJ64" s="72" t="str">
        <f>IF(OR(E64="",E64="TOTAL"),"",VLOOKUP(DATEVALUE(E64),AM64:$AR$66,3,0))</f>
        <v/>
      </c>
      <c r="AK64" s="73" t="str">
        <f>IF(OR(E64="",E64="TOTAL"),"",VLOOKUP(DATEVALUE(E64),AM64:$AR$66,5,0))</f>
        <v/>
      </c>
      <c r="AL64" s="71"/>
      <c r="AM64" s="74">
        <v>45748</v>
      </c>
      <c r="AN64" s="64">
        <v>53</v>
      </c>
      <c r="AO64" s="64">
        <v>10</v>
      </c>
      <c r="AP64" s="64"/>
      <c r="AQ64" s="65"/>
      <c r="AR64" s="75"/>
      <c r="AS64" s="78"/>
      <c r="AT64" s="78"/>
      <c r="AU64" s="78"/>
      <c r="AV64" s="78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</row>
    <row r="65" spans="1:61" s="34" customFormat="1" ht="25.5" customHeight="1" x14ac:dyDescent="0.25">
      <c r="A65" s="33"/>
      <c r="B65" s="27" t="str">
        <f t="shared" si="25"/>
        <v/>
      </c>
      <c r="C65" s="32" t="str">
        <f t="shared" si="20"/>
        <v/>
      </c>
      <c r="D65" s="32" t="str">
        <f t="shared" si="26"/>
        <v/>
      </c>
      <c r="E65" s="37" t="str">
        <f t="shared" si="21"/>
        <v/>
      </c>
      <c r="F65" s="29" t="str">
        <f>IF(E65="","",IF(C65="Jul",MROUND(F64*1.03,100),IF(E65="TOTAL",SUM($F$13:F64),F64)))</f>
        <v/>
      </c>
      <c r="G65" s="29" t="str">
        <f>IF(E65="","",IF(E65="TOTAL",SUM($G$13:G64),ROUND(F65*AI65/100,0)))</f>
        <v/>
      </c>
      <c r="H65" s="38" t="str">
        <f>IF(E65="","",IF(E65="TOTAL",SUM($H$13:H64),ROUND(F65*AJ65/100,0)))</f>
        <v/>
      </c>
      <c r="I65" s="38" t="str">
        <f>IF(E65="","",IF(E65="TOTAL",SUM($I$13:I64),0))</f>
        <v/>
      </c>
      <c r="J65" s="35" t="str">
        <f t="shared" si="9"/>
        <v/>
      </c>
      <c r="K65" s="38" t="str">
        <f>IF(E65="","",IF(C65="Jul",MROUND(K64*1.03,100),IF(E65="TOTAL",SUM($K$13:K64),K64)))</f>
        <v/>
      </c>
      <c r="L65" s="38" t="str">
        <f>IF(E65="","",IF(E65="TOTAL",SUM($L$13:L64),ROUND(K65*AI65/100,0)))</f>
        <v/>
      </c>
      <c r="M65" s="38" t="str">
        <f>IF(E65="","",IF(E65="TOTAL",SUM($M$13:M64),ROUND(K65*AJ65/100,0)))</f>
        <v/>
      </c>
      <c r="N65" s="38" t="str">
        <f>IF(E65="","",IF(E65="TOTAL",SUM($N$13:N64),0))</f>
        <v/>
      </c>
      <c r="O65" s="35" t="str">
        <f t="shared" si="15"/>
        <v/>
      </c>
      <c r="P65" s="29" t="str">
        <f t="shared" si="22"/>
        <v/>
      </c>
      <c r="Q65" s="29" t="str">
        <f t="shared" si="23"/>
        <v/>
      </c>
      <c r="R65" s="29" t="str">
        <f t="shared" si="24"/>
        <v/>
      </c>
      <c r="S65" s="29" t="str">
        <f t="shared" si="10"/>
        <v/>
      </c>
      <c r="T65" s="35" t="str">
        <f t="shared" si="11"/>
        <v/>
      </c>
      <c r="U65" s="39" t="str">
        <f>IF(E65="","",IF(E65="TOTAL",SUM($U$13:U64),ROUND(F65*AK65,0)))</f>
        <v/>
      </c>
      <c r="V65" s="39" t="str">
        <f>IF(E65="","",IF(E65="TOTAL",SUM($V$13:V64),ROUND(K65*AK65,0)))</f>
        <v/>
      </c>
      <c r="W65" s="30" t="str">
        <f t="shared" si="16"/>
        <v/>
      </c>
      <c r="X65" s="87" t="str">
        <f>IF(E65="","",IF(E65="TOTAL",SUM($X$13:X64),IF(F65&lt;18001,265,IF(F65&lt;33501,440,IF(F65&lt;54001,658,875)))))</f>
        <v/>
      </c>
      <c r="Y65" s="87" t="str">
        <f>IF(E65="","",IF(E65="TOTAL",SUM($Y$13:Y64),IF(K65&lt;18001,265,IF(K65&lt;33501,440,IF(K65&lt;54001,658,875)))))</f>
        <v/>
      </c>
      <c r="Z65" s="31" t="str">
        <f>IF(E65="","",IF(E65="TOTAL",SUM($Z$13:Z64),X65-Y65))</f>
        <v/>
      </c>
      <c r="AA65" s="39" t="str">
        <f>IF(E65="","",IF(E65="TOTAL",SUM($AA$13:AA64),0))</f>
        <v/>
      </c>
      <c r="AB65" s="30" t="str">
        <f>IF(E65="","",IF(E65="TOTAL",SUM($AB$13:AB64),ROUND(T65*$Z$5,0)))</f>
        <v/>
      </c>
      <c r="AC65" s="35" t="str">
        <f t="shared" si="17"/>
        <v/>
      </c>
      <c r="AD65" s="36" t="str">
        <f t="shared" si="13"/>
        <v/>
      </c>
      <c r="AE65" s="7"/>
      <c r="AF65" s="7"/>
      <c r="AG65" s="71" t="str">
        <f t="shared" si="27"/>
        <v/>
      </c>
      <c r="AH65" s="71"/>
      <c r="AI65" s="72" t="str">
        <f>IF(OR(E65="",E65="TOTAL"),"",VLOOKUP(DATEVALUE(E65),AM65:$AR$66,2,0))</f>
        <v/>
      </c>
      <c r="AJ65" s="72" t="str">
        <f>IF(OR(E65="",E65="TOTAL"),"",VLOOKUP(DATEVALUE(E65),AM65:$AR$66,3,0))</f>
        <v/>
      </c>
      <c r="AK65" s="73" t="str">
        <f>IF(OR(E65="",E65="TOTAL"),"",VLOOKUP(DATEVALUE(E65),AM65:$AR$66,5,0))</f>
        <v/>
      </c>
      <c r="AL65" s="71"/>
      <c r="AM65" s="74">
        <v>45778</v>
      </c>
      <c r="AN65" s="64">
        <v>53</v>
      </c>
      <c r="AO65" s="64">
        <v>10</v>
      </c>
      <c r="AP65" s="64"/>
      <c r="AQ65" s="65"/>
      <c r="AR65" s="75"/>
      <c r="AS65" s="78"/>
      <c r="AT65" s="78"/>
      <c r="AU65" s="78"/>
      <c r="AV65" s="78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</row>
    <row r="66" spans="1:61" s="34" customFormat="1" ht="25.5" customHeight="1" x14ac:dyDescent="0.25">
      <c r="A66" s="33"/>
      <c r="B66" s="27" t="str">
        <f t="shared" si="25"/>
        <v/>
      </c>
      <c r="C66" s="32" t="str">
        <f t="shared" si="20"/>
        <v/>
      </c>
      <c r="D66" s="32" t="str">
        <f t="shared" si="26"/>
        <v/>
      </c>
      <c r="E66" s="37" t="str">
        <f t="shared" si="21"/>
        <v/>
      </c>
      <c r="F66" s="29" t="str">
        <f>IF(E66="","",IF(C66="Jul",MROUND(F65*1.03,100),IF(E66="TOTAL",SUM($F$13:F65),F65)))</f>
        <v/>
      </c>
      <c r="G66" s="29" t="str">
        <f>IF(E66="","",IF(E66="TOTAL",SUM($G$13:G65),ROUND(F66*AI66/100,0)))</f>
        <v/>
      </c>
      <c r="H66" s="38" t="str">
        <f>IF(E66="","",IF(E66="TOTAL",SUM($H$13:H65),ROUND(F66*AJ66/100,0)))</f>
        <v/>
      </c>
      <c r="I66" s="38" t="str">
        <f>IF(E66="","",IF(E66="TOTAL",SUM($I$13:I65),0))</f>
        <v/>
      </c>
      <c r="J66" s="35" t="str">
        <f t="shared" si="9"/>
        <v/>
      </c>
      <c r="K66" s="38" t="str">
        <f>IF(E66="","",IF(C66="Jul",MROUND(K65*1.03,100),IF(E66="TOTAL",SUM($K$13:K65),K65)))</f>
        <v/>
      </c>
      <c r="L66" s="38" t="str">
        <f>IF(E66="","",IF(E66="TOTAL",SUM($L$13:L65),ROUND(K66*AI66/100,0)))</f>
        <v/>
      </c>
      <c r="M66" s="38" t="str">
        <f>IF(E66="","",IF(E66="TOTAL",SUM($M$13:M65),ROUND(K66*AJ66/100,0)))</f>
        <v/>
      </c>
      <c r="N66" s="38" t="str">
        <f>IF(E66="","",IF(E66="TOTAL",SUM($N$13:N65),0))</f>
        <v/>
      </c>
      <c r="O66" s="35" t="str">
        <f t="shared" si="15"/>
        <v/>
      </c>
      <c r="P66" s="29" t="str">
        <f t="shared" si="22"/>
        <v/>
      </c>
      <c r="Q66" s="29" t="str">
        <f t="shared" si="23"/>
        <v/>
      </c>
      <c r="R66" s="29" t="str">
        <f t="shared" si="24"/>
        <v/>
      </c>
      <c r="S66" s="29" t="str">
        <f t="shared" si="10"/>
        <v/>
      </c>
      <c r="T66" s="35" t="str">
        <f t="shared" si="11"/>
        <v/>
      </c>
      <c r="U66" s="39" t="str">
        <f>IF(E66="","",IF(E66="TOTAL",SUM($U$13:U65),ROUND(F66*AK66,0)))</f>
        <v/>
      </c>
      <c r="V66" s="39" t="str">
        <f>IF(E66="","",IF(E66="TOTAL",SUM($V$13:V65),ROUND(K66*AK66,0)))</f>
        <v/>
      </c>
      <c r="W66" s="30" t="str">
        <f t="shared" si="16"/>
        <v/>
      </c>
      <c r="X66" s="87" t="str">
        <f>IF(E66="","",IF(E66="TOTAL",SUM($X$13:X65),IF(F66&lt;18001,265,IF(F66&lt;33501,440,IF(F66&lt;54001,658,875)))))</f>
        <v/>
      </c>
      <c r="Y66" s="87" t="str">
        <f>IF(E66="","",IF(E66="TOTAL",SUM($Y$13:Y65),IF(K66&lt;18001,265,IF(K66&lt;33501,440,IF(K66&lt;54001,658,875)))))</f>
        <v/>
      </c>
      <c r="Z66" s="31" t="str">
        <f>IF(E66="","",IF(E66="TOTAL",SUM($Z$13:Z65),X66-Y66))</f>
        <v/>
      </c>
      <c r="AA66" s="39" t="str">
        <f>IF(E66="","",IF(E66="TOTAL",SUM($AA$13:AA65),0))</f>
        <v/>
      </c>
      <c r="AB66" s="30" t="str">
        <f>IF(E66="","",IF(E66="TOTAL",SUM($AB$13:AB65),ROUND(T66*$Z$5,0)))</f>
        <v/>
      </c>
      <c r="AC66" s="35" t="str">
        <f t="shared" si="17"/>
        <v/>
      </c>
      <c r="AD66" s="36" t="str">
        <f t="shared" si="13"/>
        <v/>
      </c>
      <c r="AE66" s="7"/>
      <c r="AF66" s="7"/>
      <c r="AG66" s="71" t="str">
        <f t="shared" si="27"/>
        <v/>
      </c>
      <c r="AH66" s="71"/>
      <c r="AI66" s="72" t="str">
        <f>IF(OR(E66="",E66="TOTAL"),"",VLOOKUP(DATEVALUE(E66),AM66:$AR$66,2,0))</f>
        <v/>
      </c>
      <c r="AJ66" s="72" t="str">
        <f>IF(OR(E66="",E66="TOTAL"),"",VLOOKUP(DATEVALUE(E66),AM66:$AR$66,3,0))</f>
        <v/>
      </c>
      <c r="AK66" s="73" t="str">
        <f>IF(OR(E66="",E66="TOTAL"),"",VLOOKUP(DATEVALUE(E66),AM66:$AR$66,5,0))</f>
        <v/>
      </c>
      <c r="AL66" s="71"/>
      <c r="AM66" s="74">
        <v>45809</v>
      </c>
      <c r="AN66" s="64">
        <v>53</v>
      </c>
      <c r="AO66" s="64">
        <v>10</v>
      </c>
      <c r="AP66" s="64"/>
      <c r="AQ66" s="65"/>
      <c r="AR66" s="75"/>
      <c r="AS66" s="78"/>
      <c r="AT66" s="78"/>
      <c r="AU66" s="78"/>
      <c r="AV66" s="78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</row>
    <row r="67" spans="1:61" s="34" customFormat="1" ht="25.5" customHeight="1" x14ac:dyDescent="0.25">
      <c r="A67" s="33"/>
      <c r="B67" s="27" t="str">
        <f t="shared" si="25"/>
        <v/>
      </c>
      <c r="C67" s="32" t="str">
        <f t="shared" ref="C67" si="28">TEXT(E67,"MMM")</f>
        <v/>
      </c>
      <c r="D67" s="32" t="str">
        <f t="shared" si="26"/>
        <v/>
      </c>
      <c r="E67" s="37" t="str">
        <f t="shared" ref="E67" si="29">TEXT(B67,"MMM-YYYY")</f>
        <v/>
      </c>
      <c r="F67" s="29" t="str">
        <f>IF(E67="","",IF(C67="Jul",MROUND(F66*1.03,100),IF(E67="TOTAL",SUM($F$13:F66),F66)))</f>
        <v/>
      </c>
      <c r="G67" s="29" t="str">
        <f>IF(E67="","",IF(E67="TOTAL",SUM($G$13:G66),ROUND(F67*AI67/100,0)))</f>
        <v/>
      </c>
      <c r="H67" s="38" t="str">
        <f>IF(E67="","",IF(E67="TOTAL",SUM($H$13:H66),ROUND(F67*AJ67/100,0)))</f>
        <v/>
      </c>
      <c r="I67" s="38" t="str">
        <f>IF(E67="","",IF(E67="TOTAL",SUM($I$13:I66),0))</f>
        <v/>
      </c>
      <c r="J67" s="35" t="str">
        <f t="shared" si="9"/>
        <v/>
      </c>
      <c r="K67" s="38" t="str">
        <f>IF(E67="","",IF(C67="Jul",MROUND(K66*1.03,100),IF(E67="TOTAL",SUM($K$13:K66),K66)))</f>
        <v/>
      </c>
      <c r="L67" s="38" t="str">
        <f>IF(E67="","",IF(E67="TOTAL",SUM($L$13:L66),ROUND(K67*AI67/100,0)))</f>
        <v/>
      </c>
      <c r="M67" s="38" t="str">
        <f>IF(E67="","",IF(E67="TOTAL",SUM($M$13:M66),ROUND(K67*AJ67/100,0)))</f>
        <v/>
      </c>
      <c r="N67" s="38" t="str">
        <f>IF(E67="","",IF(E67="TOTAL",SUM($N$13:N66),0))</f>
        <v/>
      </c>
      <c r="O67" s="35" t="str">
        <f t="shared" si="15"/>
        <v/>
      </c>
      <c r="P67" s="29" t="str">
        <f t="shared" ref="P67" si="30">IF(E67="","",F67-K67)</f>
        <v/>
      </c>
      <c r="Q67" s="29" t="str">
        <f t="shared" ref="Q67" si="31">IF(E67="","",G67-L67)</f>
        <v/>
      </c>
      <c r="R67" s="29" t="str">
        <f t="shared" ref="R67" si="32">IF(E67="","",H67-M67)</f>
        <v/>
      </c>
      <c r="S67" s="29" t="str">
        <f t="shared" si="10"/>
        <v/>
      </c>
      <c r="T67" s="35" t="str">
        <f t="shared" si="11"/>
        <v/>
      </c>
      <c r="U67" s="39" t="str">
        <f>IF(E67="","",IF(E67="TOTAL",SUM($U$13:U66),ROUND(F67*AK67,0)))</f>
        <v/>
      </c>
      <c r="V67" s="39" t="str">
        <f>IF(E67="","",IF(E67="TOTAL",SUM($V$13:V66),ROUND(K67*AK67,0)))</f>
        <v/>
      </c>
      <c r="W67" s="30" t="str">
        <f t="shared" ref="W67" si="33">IF(E67="","",U67-V67)</f>
        <v/>
      </c>
      <c r="X67" s="87" t="str">
        <f>IF(E67="","",IF(E67="TOTAL",SUM($X$13:X66),IF(F67&lt;18001,265,IF(F67&lt;33501,440,IF(F67&lt;54001,658,875)))))</f>
        <v/>
      </c>
      <c r="Y67" s="87" t="str">
        <f>IF(E67="","",IF(E67="TOTAL",SUM($Y$13:Y66),IF(K67&lt;18001,265,IF(K67&lt;33501,440,IF(K67&lt;54001,658,875)))))</f>
        <v/>
      </c>
      <c r="Z67" s="31" t="str">
        <f>IF(E67="","",IF(E67="TOTAL",SUM($Z$13:Z66),X67-Y67))</f>
        <v/>
      </c>
      <c r="AA67" s="39" t="str">
        <f>IF(E67="","",IF(E67="TOTAL",SUM($AA$13:AA66),0))</f>
        <v/>
      </c>
      <c r="AB67" s="30" t="str">
        <f>IF(E67="","",IF(E67="TOTAL",SUM($AB$13:AB66),ROUND(T67*$Z$5,0)))</f>
        <v/>
      </c>
      <c r="AC67" s="35" t="str">
        <f t="shared" si="17"/>
        <v/>
      </c>
      <c r="AD67" s="36" t="str">
        <f t="shared" ref="AD67" si="34">IF(E67="","",T67-AC67)</f>
        <v/>
      </c>
      <c r="AE67" s="7"/>
      <c r="AF67" s="7"/>
      <c r="AG67" s="71" t="str">
        <f t="shared" ref="AG67" si="35">IFERROR(DATE(YEAR(B66),MONTH(B66)+1,DAY(B66)),"")</f>
        <v/>
      </c>
      <c r="AH67" s="71"/>
      <c r="AI67" s="72" t="str">
        <f>IF(OR(E67="",E67="TOTAL"),"",VLOOKUP(DATEVALUE(E67),AM$66:$AR67,2,0))</f>
        <v/>
      </c>
      <c r="AJ67" s="72" t="str">
        <f>IF(OR(E67="",E67="TOTAL"),"",VLOOKUP(DATEVALUE(E67),AM$66:$AR67,3,0))</f>
        <v/>
      </c>
      <c r="AK67" s="73" t="str">
        <f>IF(OR(E67="",E67="TOTAL"),"",VLOOKUP(DATEVALUE(E67),AM$66:$AR67,5,0))</f>
        <v/>
      </c>
      <c r="AL67" s="71"/>
      <c r="AM67" s="74">
        <v>45839</v>
      </c>
      <c r="AN67" s="64">
        <v>53</v>
      </c>
      <c r="AO67" s="64">
        <v>10</v>
      </c>
      <c r="AP67" s="64"/>
      <c r="AQ67" s="65"/>
      <c r="AR67" s="75"/>
      <c r="AS67" s="78"/>
      <c r="AT67" s="78"/>
      <c r="AU67" s="78"/>
      <c r="AV67" s="78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</row>
    <row r="68" spans="1:61" s="34" customFormat="1" ht="25.5" customHeight="1" x14ac:dyDescent="0.25">
      <c r="A68" s="33"/>
      <c r="B68" s="27" t="str">
        <f t="shared" si="25"/>
        <v/>
      </c>
      <c r="C68" s="32" t="str">
        <f t="shared" ref="C68:C73" si="36">TEXT(E68,"MMM")</f>
        <v/>
      </c>
      <c r="D68" s="32" t="str">
        <f t="shared" si="26"/>
        <v/>
      </c>
      <c r="E68" s="37" t="str">
        <f t="shared" ref="E68:E73" si="37">TEXT(B68,"MMM-YYYY")</f>
        <v/>
      </c>
      <c r="F68" s="29" t="str">
        <f>IF(E68="","",IF(C68="Jul",MROUND(F67*1.03,100),IF(E68="TOTAL",SUM($F$13:F67),F67)))</f>
        <v/>
      </c>
      <c r="G68" s="29" t="str">
        <f>IF(E68="","",IF(E68="TOTAL",SUM($G$13:G67),ROUND(F68*AI68/100,0)))</f>
        <v/>
      </c>
      <c r="H68" s="38" t="str">
        <f>IF(E68="","",IF(E68="TOTAL",SUM($H$13:H67),ROUND(F68*AJ68/100,0)))</f>
        <v/>
      </c>
      <c r="I68" s="38" t="str">
        <f>IF(E68="","",IF(E68="TOTAL",SUM($I$13:I67),0))</f>
        <v/>
      </c>
      <c r="J68" s="35" t="str">
        <f t="shared" si="9"/>
        <v/>
      </c>
      <c r="K68" s="38" t="str">
        <f>IF(E68="","",IF(C68="Jul",MROUND(K67*1.03,100),IF(E68="TOTAL",SUM($K$13:K67),K67)))</f>
        <v/>
      </c>
      <c r="L68" s="38" t="str">
        <f>IF(E68="","",IF(E68="TOTAL",SUM($L$13:L67),ROUND(K68*AI68/100,0)))</f>
        <v/>
      </c>
      <c r="M68" s="38" t="str">
        <f>IF(E68="","",IF(E68="TOTAL",SUM($M$13:M67),ROUND(K68*AJ68/100,0)))</f>
        <v/>
      </c>
      <c r="N68" s="38" t="str">
        <f>IF(E68="","",IF(E68="TOTAL",SUM($N$13:N67),0))</f>
        <v/>
      </c>
      <c r="O68" s="35" t="str">
        <f t="shared" si="15"/>
        <v/>
      </c>
      <c r="P68" s="29" t="str">
        <f t="shared" ref="P68:P73" si="38">IF(E68="","",F68-K68)</f>
        <v/>
      </c>
      <c r="Q68" s="29" t="str">
        <f t="shared" ref="Q68:Q73" si="39">IF(E68="","",G68-L68)</f>
        <v/>
      </c>
      <c r="R68" s="29" t="str">
        <f t="shared" ref="R68:R73" si="40">IF(E68="","",H68-M68)</f>
        <v/>
      </c>
      <c r="S68" s="29" t="str">
        <f t="shared" si="10"/>
        <v/>
      </c>
      <c r="T68" s="35" t="str">
        <f t="shared" si="11"/>
        <v/>
      </c>
      <c r="U68" s="39" t="str">
        <f>IF(E68="","",IF(E68="TOTAL",SUM($U$13:U67),ROUND(F68*AK68,0)))</f>
        <v/>
      </c>
      <c r="V68" s="39" t="str">
        <f>IF(E68="","",IF(E68="TOTAL",SUM($V$13:V67),ROUND(K68*AK68,0)))</f>
        <v/>
      </c>
      <c r="W68" s="30" t="str">
        <f t="shared" ref="W68:W73" si="41">IF(E68="","",U68-V68)</f>
        <v/>
      </c>
      <c r="X68" s="87" t="str">
        <f>IF(E68="","",IF(E68="TOTAL",SUM($X$13:X67),IF(F68&lt;18001,265,IF(F68&lt;33501,440,IF(F68&lt;54001,658,875)))))</f>
        <v/>
      </c>
      <c r="Y68" s="87" t="str">
        <f>IF(E68="","",IF(E68="TOTAL",SUM($Y$13:Y67),IF(K68&lt;18001,265,IF(K68&lt;33501,440,IF(K68&lt;54001,658,875)))))</f>
        <v/>
      </c>
      <c r="Z68" s="31" t="str">
        <f>IF(E68="","",IF(E68="TOTAL",SUM($Z$13:Z67),X68-Y68))</f>
        <v/>
      </c>
      <c r="AA68" s="39" t="str">
        <f>IF(E68="","",IF(E68="TOTAL",SUM($AA$13:AA67),0))</f>
        <v/>
      </c>
      <c r="AB68" s="30" t="str">
        <f>IF(E68="","",IF(E68="TOTAL",SUM($AB$13:AB67),ROUND(T68*$Z$5,0)))</f>
        <v/>
      </c>
      <c r="AC68" s="35" t="str">
        <f t="shared" si="17"/>
        <v/>
      </c>
      <c r="AD68" s="36" t="str">
        <f t="shared" ref="AD68:AD73" si="42">IF(E68="","",T68-AC68)</f>
        <v/>
      </c>
      <c r="AE68" s="7"/>
      <c r="AF68" s="7"/>
      <c r="AG68" s="71" t="str">
        <f t="shared" ref="AG68:AG73" si="43">IFERROR(DATE(YEAR(B67),MONTH(B67)+1,DAY(B67)),"")</f>
        <v/>
      </c>
      <c r="AH68" s="71"/>
      <c r="AI68" s="72" t="str">
        <f>IF(OR(E68="",E68="TOTAL"),"",VLOOKUP(DATEVALUE(E68),AM$66:$AR68,2,0))</f>
        <v/>
      </c>
      <c r="AJ68" s="72" t="str">
        <f>IF(OR(E68="",E68="TOTAL"),"",VLOOKUP(DATEVALUE(E68),AM$66:$AR68,3,0))</f>
        <v/>
      </c>
      <c r="AK68" s="73" t="str">
        <f>IF(OR(E68="",E68="TOTAL"),"",VLOOKUP(DATEVALUE(E68),AM$66:$AR68,5,0))</f>
        <v/>
      </c>
      <c r="AL68" s="71"/>
      <c r="AM68" s="74">
        <v>45870</v>
      </c>
      <c r="AN68" s="64">
        <v>53</v>
      </c>
      <c r="AO68" s="64">
        <v>10</v>
      </c>
      <c r="AP68" s="64"/>
      <c r="AQ68" s="65"/>
      <c r="AR68" s="75"/>
      <c r="AS68" s="78"/>
      <c r="AT68" s="78"/>
      <c r="AU68" s="78"/>
      <c r="AV68" s="78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</row>
    <row r="69" spans="1:61" s="34" customFormat="1" ht="25.5" customHeight="1" x14ac:dyDescent="0.25">
      <c r="A69" s="33"/>
      <c r="B69" s="27" t="str">
        <f t="shared" si="25"/>
        <v/>
      </c>
      <c r="C69" s="32" t="str">
        <f t="shared" si="36"/>
        <v/>
      </c>
      <c r="D69" s="32" t="str">
        <f t="shared" si="26"/>
        <v/>
      </c>
      <c r="E69" s="37" t="str">
        <f t="shared" si="37"/>
        <v/>
      </c>
      <c r="F69" s="29" t="str">
        <f>IF(E69="","",IF(C69="Jul",MROUND(F68*1.03,100),IF(E69="TOTAL",SUM($F$13:F68),F68)))</f>
        <v/>
      </c>
      <c r="G69" s="29" t="str">
        <f>IF(E69="","",IF(E69="TOTAL",SUM($G$13:G68),ROUND(F69*AI69/100,0)))</f>
        <v/>
      </c>
      <c r="H69" s="38" t="str">
        <f>IF(E69="","",IF(E69="TOTAL",SUM($H$13:H68),ROUND(F69*AJ69/100,0)))</f>
        <v/>
      </c>
      <c r="I69" s="38" t="str">
        <f>IF(E69="","",IF(E69="TOTAL",SUM($I$13:I68),0))</f>
        <v/>
      </c>
      <c r="J69" s="35" t="str">
        <f t="shared" si="9"/>
        <v/>
      </c>
      <c r="K69" s="38" t="str">
        <f>IF(E69="","",IF(C69="Jul",MROUND(K68*1.03,100),IF(E69="TOTAL",SUM($K$13:K68),K68)))</f>
        <v/>
      </c>
      <c r="L69" s="38" t="str">
        <f>IF(E69="","",IF(E69="TOTAL",SUM($L$13:L68),ROUND(K69*AI69/100,0)))</f>
        <v/>
      </c>
      <c r="M69" s="38" t="str">
        <f>IF(E69="","",IF(E69="TOTAL",SUM($M$13:M68),ROUND(K69*AJ69/100,0)))</f>
        <v/>
      </c>
      <c r="N69" s="38" t="str">
        <f>IF(E69="","",IF(E69="TOTAL",SUM($N$13:N68),0))</f>
        <v/>
      </c>
      <c r="O69" s="35" t="str">
        <f t="shared" si="15"/>
        <v/>
      </c>
      <c r="P69" s="29" t="str">
        <f t="shared" si="38"/>
        <v/>
      </c>
      <c r="Q69" s="29" t="str">
        <f t="shared" si="39"/>
        <v/>
      </c>
      <c r="R69" s="29" t="str">
        <f t="shared" si="40"/>
        <v/>
      </c>
      <c r="S69" s="29" t="str">
        <f t="shared" si="10"/>
        <v/>
      </c>
      <c r="T69" s="35" t="str">
        <f t="shared" si="11"/>
        <v/>
      </c>
      <c r="U69" s="39" t="str">
        <f>IF(E69="","",IF(E69="TOTAL",SUM($U$13:U68),ROUND(F69*AK69,0)))</f>
        <v/>
      </c>
      <c r="V69" s="39" t="str">
        <f>IF(E69="","",IF(E69="TOTAL",SUM($V$13:V68),ROUND(K69*AK69,0)))</f>
        <v/>
      </c>
      <c r="W69" s="30" t="str">
        <f t="shared" si="41"/>
        <v/>
      </c>
      <c r="X69" s="87" t="str">
        <f>IF(E69="","",IF(E69="TOTAL",SUM($X$13:X68),IF(F69&lt;18001,265,IF(F69&lt;33501,440,IF(F69&lt;54001,658,875)))))</f>
        <v/>
      </c>
      <c r="Y69" s="87" t="str">
        <f>IF(E69="","",IF(E69="TOTAL",SUM($Y$13:Y68),IF(K69&lt;18001,265,IF(K69&lt;33501,440,IF(K69&lt;54001,658,875)))))</f>
        <v/>
      </c>
      <c r="Z69" s="31" t="str">
        <f>IF(E69="","",IF(E69="TOTAL",SUM($Z$13:Z68),X69-Y69))</f>
        <v/>
      </c>
      <c r="AA69" s="39" t="str">
        <f>IF(E69="","",IF(E69="TOTAL",SUM($AA$13:AA68),0))</f>
        <v/>
      </c>
      <c r="AB69" s="30" t="str">
        <f>IF(E69="","",IF(E69="TOTAL",SUM($AB$13:AB68),ROUND(T69*$Z$5,0)))</f>
        <v/>
      </c>
      <c r="AC69" s="35" t="str">
        <f t="shared" si="17"/>
        <v/>
      </c>
      <c r="AD69" s="36" t="str">
        <f t="shared" si="42"/>
        <v/>
      </c>
      <c r="AE69" s="7"/>
      <c r="AF69" s="7"/>
      <c r="AG69" s="71" t="str">
        <f t="shared" si="43"/>
        <v/>
      </c>
      <c r="AH69" s="71"/>
      <c r="AI69" s="72" t="str">
        <f>IF(OR(E69="",E69="TOTAL"),"",VLOOKUP(DATEVALUE(E69),AM$66:$AR69,2,0))</f>
        <v/>
      </c>
      <c r="AJ69" s="72" t="str">
        <f>IF(OR(E69="",E69="TOTAL"),"",VLOOKUP(DATEVALUE(E69),AM$66:$AR69,3,0))</f>
        <v/>
      </c>
      <c r="AK69" s="73" t="str">
        <f>IF(OR(E69="",E69="TOTAL"),"",VLOOKUP(DATEVALUE(E69),AM$66:$AR69,5,0))</f>
        <v/>
      </c>
      <c r="AL69" s="71"/>
      <c r="AM69" s="74">
        <v>45901</v>
      </c>
      <c r="AN69" s="64">
        <v>53</v>
      </c>
      <c r="AO69" s="64">
        <v>10</v>
      </c>
      <c r="AP69" s="64"/>
      <c r="AQ69" s="65"/>
      <c r="AR69" s="75"/>
      <c r="AS69" s="78"/>
      <c r="AT69" s="78"/>
      <c r="AU69" s="78"/>
      <c r="AV69" s="78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</row>
    <row r="70" spans="1:61" s="34" customFormat="1" ht="25.5" customHeight="1" x14ac:dyDescent="0.25">
      <c r="A70" s="33"/>
      <c r="B70" s="27" t="str">
        <f t="shared" si="25"/>
        <v/>
      </c>
      <c r="C70" s="32" t="str">
        <f t="shared" si="36"/>
        <v/>
      </c>
      <c r="D70" s="32" t="str">
        <f t="shared" si="26"/>
        <v/>
      </c>
      <c r="E70" s="37" t="str">
        <f t="shared" si="37"/>
        <v/>
      </c>
      <c r="F70" s="29" t="str">
        <f>IF(E70="","",IF(C70="Jul",MROUND(F69*1.03,100),IF(E70="TOTAL",SUM($F$13:F69),F69)))</f>
        <v/>
      </c>
      <c r="G70" s="29" t="str">
        <f>IF(E70="","",IF(E70="TOTAL",SUM($G$13:G69),ROUND(F70*AI70/100,0)))</f>
        <v/>
      </c>
      <c r="H70" s="38" t="str">
        <f>IF(E70="","",IF(E70="TOTAL",SUM($H$13:H69),ROUND(F70*AJ70/100,0)))</f>
        <v/>
      </c>
      <c r="I70" s="38" t="str">
        <f>IF(E70="","",IF(E70="TOTAL",SUM($I$13:I69),0))</f>
        <v/>
      </c>
      <c r="J70" s="35" t="str">
        <f t="shared" si="9"/>
        <v/>
      </c>
      <c r="K70" s="38" t="str">
        <f>IF(E70="","",IF(C70="Jul",MROUND(K69*1.03,100),IF(E70="TOTAL",SUM($K$13:K69),K69)))</f>
        <v/>
      </c>
      <c r="L70" s="38" t="str">
        <f>IF(E70="","",IF(E70="TOTAL",SUM($L$13:L69),ROUND(K70*AI70/100,0)))</f>
        <v/>
      </c>
      <c r="M70" s="38" t="str">
        <f>IF(E70="","",IF(E70="TOTAL",SUM($M$13:M69),ROUND(K70*AJ70/100,0)))</f>
        <v/>
      </c>
      <c r="N70" s="38" t="str">
        <f>IF(E70="","",IF(E70="TOTAL",SUM($N$13:N69),0))</f>
        <v/>
      </c>
      <c r="O70" s="35" t="str">
        <f t="shared" si="15"/>
        <v/>
      </c>
      <c r="P70" s="29" t="str">
        <f t="shared" si="38"/>
        <v/>
      </c>
      <c r="Q70" s="29" t="str">
        <f t="shared" si="39"/>
        <v/>
      </c>
      <c r="R70" s="29" t="str">
        <f t="shared" si="40"/>
        <v/>
      </c>
      <c r="S70" s="29" t="str">
        <f t="shared" si="10"/>
        <v/>
      </c>
      <c r="T70" s="35" t="str">
        <f t="shared" si="11"/>
        <v/>
      </c>
      <c r="U70" s="39" t="str">
        <f>IF(E70="","",IF(E70="TOTAL",SUM($U$13:U69),ROUND(F70*AK70,0)))</f>
        <v/>
      </c>
      <c r="V70" s="39" t="str">
        <f>IF(E70="","",IF(E70="TOTAL",SUM($V$13:V69),ROUND(K70*AK70,0)))</f>
        <v/>
      </c>
      <c r="W70" s="30" t="str">
        <f t="shared" si="41"/>
        <v/>
      </c>
      <c r="X70" s="87" t="str">
        <f>IF(E70="","",IF(E70="TOTAL",SUM($X$13:X69),IF(F70&lt;18001,265,IF(F70&lt;33501,440,IF(F70&lt;54001,658,875)))))</f>
        <v/>
      </c>
      <c r="Y70" s="87" t="str">
        <f>IF(E70="","",IF(E70="TOTAL",SUM($Y$13:Y69),IF(K70&lt;18001,265,IF(K70&lt;33501,440,IF(K70&lt;54001,658,875)))))</f>
        <v/>
      </c>
      <c r="Z70" s="31" t="str">
        <f>IF(E70="","",IF(E70="TOTAL",SUM($Z$13:Z69),X70-Y70))</f>
        <v/>
      </c>
      <c r="AA70" s="39" t="str">
        <f>IF(E70="","",IF(E70="TOTAL",SUM($AA$13:AA69),0))</f>
        <v/>
      </c>
      <c r="AB70" s="30" t="str">
        <f>IF(E70="","",IF(E70="TOTAL",SUM($AB$13:AB69),ROUND(T70*$Z$5,0)))</f>
        <v/>
      </c>
      <c r="AC70" s="35" t="str">
        <f t="shared" si="17"/>
        <v/>
      </c>
      <c r="AD70" s="36" t="str">
        <f t="shared" si="42"/>
        <v/>
      </c>
      <c r="AE70" s="7"/>
      <c r="AF70" s="7"/>
      <c r="AG70" s="71" t="str">
        <f t="shared" si="43"/>
        <v/>
      </c>
      <c r="AH70" s="71"/>
      <c r="AI70" s="72" t="str">
        <f>IF(OR(E70="",E70="TOTAL"),"",VLOOKUP(DATEVALUE(E70),AM$66:$AR70,2,0))</f>
        <v/>
      </c>
      <c r="AJ70" s="72" t="str">
        <f>IF(OR(E70="",E70="TOTAL"),"",VLOOKUP(DATEVALUE(E70),AM$66:$AR70,3,0))</f>
        <v/>
      </c>
      <c r="AK70" s="73" t="str">
        <f>IF(OR(E70="",E70="TOTAL"),"",VLOOKUP(DATEVALUE(E70),AM$66:$AR70,5,0))</f>
        <v/>
      </c>
      <c r="AL70" s="71"/>
      <c r="AM70" s="74">
        <v>45931</v>
      </c>
      <c r="AN70" s="64">
        <v>53</v>
      </c>
      <c r="AO70" s="64">
        <v>10</v>
      </c>
      <c r="AP70" s="64"/>
      <c r="AQ70" s="65"/>
      <c r="AR70" s="75"/>
      <c r="AS70" s="78"/>
      <c r="AT70" s="78"/>
      <c r="AU70" s="78"/>
      <c r="AV70" s="78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</row>
    <row r="71" spans="1:61" s="34" customFormat="1" ht="25.5" customHeight="1" x14ac:dyDescent="0.25">
      <c r="A71" s="33"/>
      <c r="B71" s="27" t="str">
        <f t="shared" si="25"/>
        <v/>
      </c>
      <c r="C71" s="32" t="str">
        <f t="shared" si="36"/>
        <v/>
      </c>
      <c r="D71" s="32" t="str">
        <f t="shared" si="26"/>
        <v/>
      </c>
      <c r="E71" s="37" t="str">
        <f t="shared" si="37"/>
        <v/>
      </c>
      <c r="F71" s="29" t="str">
        <f>IF(E71="","",IF(C71="Jul",MROUND(F70*1.03,100),IF(E71="TOTAL",SUM($F$13:F70),F70)))</f>
        <v/>
      </c>
      <c r="G71" s="29" t="str">
        <f>IF(E71="","",IF(E71="TOTAL",SUM($G$13:G70),ROUND(F71*AI71/100,0)))</f>
        <v/>
      </c>
      <c r="H71" s="38" t="str">
        <f>IF(E71="","",IF(E71="TOTAL",SUM($H$13:H70),ROUND(F71*AJ71/100,0)))</f>
        <v/>
      </c>
      <c r="I71" s="38" t="str">
        <f>IF(E71="","",IF(E71="TOTAL",SUM($I$13:I70),0))</f>
        <v/>
      </c>
      <c r="J71" s="35" t="str">
        <f t="shared" si="9"/>
        <v/>
      </c>
      <c r="K71" s="38" t="str">
        <f>IF(E71="","",IF(C71="Jul",MROUND(K70*1.03,100),IF(E71="TOTAL",SUM($K$13:K70),K70)))</f>
        <v/>
      </c>
      <c r="L71" s="38" t="str">
        <f>IF(E71="","",IF(E71="TOTAL",SUM($L$13:L70),ROUND(K71*AI71/100,0)))</f>
        <v/>
      </c>
      <c r="M71" s="38" t="str">
        <f>IF(E71="","",IF(E71="TOTAL",SUM($M$13:M70),ROUND(K71*AJ71/100,0)))</f>
        <v/>
      </c>
      <c r="N71" s="38" t="str">
        <f>IF(E71="","",IF(E71="TOTAL",SUM($N$13:N70),0))</f>
        <v/>
      </c>
      <c r="O71" s="35" t="str">
        <f t="shared" si="15"/>
        <v/>
      </c>
      <c r="P71" s="29" t="str">
        <f t="shared" si="38"/>
        <v/>
      </c>
      <c r="Q71" s="29" t="str">
        <f t="shared" si="39"/>
        <v/>
      </c>
      <c r="R71" s="29" t="str">
        <f t="shared" si="40"/>
        <v/>
      </c>
      <c r="S71" s="29" t="str">
        <f t="shared" si="10"/>
        <v/>
      </c>
      <c r="T71" s="35" t="str">
        <f t="shared" si="11"/>
        <v/>
      </c>
      <c r="U71" s="39" t="str">
        <f>IF(E71="","",IF(E71="TOTAL",SUM($U$13:U70),ROUND(F71*AK71,0)))</f>
        <v/>
      </c>
      <c r="V71" s="39" t="str">
        <f>IF(E71="","",IF(E71="TOTAL",SUM($V$13:V70),ROUND(K71*AK71,0)))</f>
        <v/>
      </c>
      <c r="W71" s="30" t="str">
        <f t="shared" si="41"/>
        <v/>
      </c>
      <c r="X71" s="87" t="str">
        <f>IF(E71="","",IF(E71="TOTAL",SUM($X$13:X70),IF(F71&lt;18001,265,IF(F71&lt;33501,440,IF(F71&lt;54001,658,875)))))</f>
        <v/>
      </c>
      <c r="Y71" s="87" t="str">
        <f>IF(E71="","",IF(E71="TOTAL",SUM($Y$13:Y70),IF(K71&lt;18001,265,IF(K71&lt;33501,440,IF(K71&lt;54001,658,875)))))</f>
        <v/>
      </c>
      <c r="Z71" s="31" t="str">
        <f>IF(E71="","",IF(E71="TOTAL",SUM($Z$13:Z70),X71-Y71))</f>
        <v/>
      </c>
      <c r="AA71" s="39" t="str">
        <f>IF(E71="","",IF(E71="TOTAL",SUM($AA$13:AA70),0))</f>
        <v/>
      </c>
      <c r="AB71" s="30" t="str">
        <f>IF(E71="","",IF(E71="TOTAL",SUM($AB$13:AB70),ROUND(T71*$Z$5,0)))</f>
        <v/>
      </c>
      <c r="AC71" s="35" t="str">
        <f t="shared" si="17"/>
        <v/>
      </c>
      <c r="AD71" s="36" t="str">
        <f t="shared" si="42"/>
        <v/>
      </c>
      <c r="AE71" s="7"/>
      <c r="AF71" s="7"/>
      <c r="AG71" s="71" t="str">
        <f t="shared" si="43"/>
        <v/>
      </c>
      <c r="AH71" s="71"/>
      <c r="AI71" s="72" t="str">
        <f>IF(OR(E71="",E71="TOTAL"),"",VLOOKUP(DATEVALUE(E71),AM$66:$AR71,2,0))</f>
        <v/>
      </c>
      <c r="AJ71" s="72" t="str">
        <f>IF(OR(E71="",E71="TOTAL"),"",VLOOKUP(DATEVALUE(E71),AM$66:$AR71,3,0))</f>
        <v/>
      </c>
      <c r="AK71" s="73" t="str">
        <f>IF(OR(E71="",E71="TOTAL"),"",VLOOKUP(DATEVALUE(E71),AM$66:$AR71,5,0))</f>
        <v/>
      </c>
      <c r="AL71" s="71"/>
      <c r="AM71" s="74">
        <v>45962</v>
      </c>
      <c r="AN71" s="64">
        <v>53</v>
      </c>
      <c r="AO71" s="64">
        <v>10</v>
      </c>
      <c r="AP71" s="64"/>
      <c r="AQ71" s="65"/>
      <c r="AR71" s="75"/>
      <c r="AS71" s="78"/>
      <c r="AT71" s="78"/>
      <c r="AU71" s="78"/>
      <c r="AV71" s="78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</row>
    <row r="72" spans="1:61" s="34" customFormat="1" ht="25.5" customHeight="1" x14ac:dyDescent="0.25">
      <c r="A72" s="33"/>
      <c r="B72" s="27" t="str">
        <f t="shared" si="25"/>
        <v/>
      </c>
      <c r="C72" s="32" t="str">
        <f t="shared" si="36"/>
        <v/>
      </c>
      <c r="D72" s="32" t="str">
        <f t="shared" si="26"/>
        <v/>
      </c>
      <c r="E72" s="37" t="str">
        <f t="shared" si="37"/>
        <v/>
      </c>
      <c r="F72" s="29" t="str">
        <f>IF(E72="","",IF(C72="Jul",MROUND(F71*1.03,100),IF(E72="TOTAL",SUM($F$13:F71),F71)))</f>
        <v/>
      </c>
      <c r="G72" s="29" t="str">
        <f>IF(E72="","",IF(E72="TOTAL",SUM($G$13:G71),ROUND(F72*AI72/100,0)))</f>
        <v/>
      </c>
      <c r="H72" s="38" t="str">
        <f>IF(E72="","",IF(E72="TOTAL",SUM($H$13:H71),ROUND(F72*AJ72/100,0)))</f>
        <v/>
      </c>
      <c r="I72" s="38" t="str">
        <f>IF(E72="","",IF(E72="TOTAL",SUM($I$13:I71),0))</f>
        <v/>
      </c>
      <c r="J72" s="35" t="str">
        <f t="shared" si="9"/>
        <v/>
      </c>
      <c r="K72" s="38" t="str">
        <f>IF(E72="","",IF(C72="Jul",MROUND(K71*1.03,100),IF(E72="TOTAL",SUM($K$13:K71),K71)))</f>
        <v/>
      </c>
      <c r="L72" s="38" t="str">
        <f>IF(E72="","",IF(E72="TOTAL",SUM($L$13:L71),ROUND(K72*AI72/100,0)))</f>
        <v/>
      </c>
      <c r="M72" s="38" t="str">
        <f>IF(E72="","",IF(E72="TOTAL",SUM($M$13:M71),ROUND(K72*AJ72/100,0)))</f>
        <v/>
      </c>
      <c r="N72" s="38" t="str">
        <f>IF(E72="","",IF(E72="TOTAL",SUM($N$13:N71),0))</f>
        <v/>
      </c>
      <c r="O72" s="35" t="str">
        <f t="shared" si="15"/>
        <v/>
      </c>
      <c r="P72" s="29" t="str">
        <f t="shared" si="38"/>
        <v/>
      </c>
      <c r="Q72" s="29" t="str">
        <f t="shared" si="39"/>
        <v/>
      </c>
      <c r="R72" s="29" t="str">
        <f t="shared" si="40"/>
        <v/>
      </c>
      <c r="S72" s="29" t="str">
        <f t="shared" si="10"/>
        <v/>
      </c>
      <c r="T72" s="35" t="str">
        <f t="shared" si="11"/>
        <v/>
      </c>
      <c r="U72" s="39" t="str">
        <f>IF(E72="","",IF(E72="TOTAL",SUM($U$13:U71),ROUND(F72*AK72,0)))</f>
        <v/>
      </c>
      <c r="V72" s="39" t="str">
        <f>IF(E72="","",IF(E72="TOTAL",SUM($V$13:V71),ROUND(K72*AK72,0)))</f>
        <v/>
      </c>
      <c r="W72" s="30" t="str">
        <f t="shared" si="41"/>
        <v/>
      </c>
      <c r="X72" s="87" t="str">
        <f>IF(E72="","",IF(E72="TOTAL",SUM($X$13:X71),IF(F72&lt;18001,265,IF(F72&lt;33501,440,IF(F72&lt;54001,658,875)))))</f>
        <v/>
      </c>
      <c r="Y72" s="87" t="str">
        <f>IF(E72="","",IF(E72="TOTAL",SUM($Y$13:Y71),IF(K72&lt;18001,265,IF(K72&lt;33501,440,IF(K72&lt;54001,658,875)))))</f>
        <v/>
      </c>
      <c r="Z72" s="31" t="str">
        <f>IF(E72="","",IF(E72="TOTAL",SUM($Z$13:Z71),X72-Y72))</f>
        <v/>
      </c>
      <c r="AA72" s="39" t="str">
        <f>IF(E72="","",IF(E72="TOTAL",SUM($AA$13:AA71),0))</f>
        <v/>
      </c>
      <c r="AB72" s="30" t="str">
        <f>IF(E72="","",IF(E72="TOTAL",SUM($AB$13:AB71),ROUND(T72*$Z$5,0)))</f>
        <v/>
      </c>
      <c r="AC72" s="35" t="str">
        <f t="shared" si="17"/>
        <v/>
      </c>
      <c r="AD72" s="36" t="str">
        <f t="shared" si="42"/>
        <v/>
      </c>
      <c r="AE72" s="7"/>
      <c r="AF72" s="7"/>
      <c r="AG72" s="71" t="str">
        <f t="shared" si="43"/>
        <v/>
      </c>
      <c r="AH72" s="71"/>
      <c r="AI72" s="72" t="str">
        <f>IF(OR(E72="",E72="TOTAL"),"",VLOOKUP(DATEVALUE(E72),AM$66:$AR72,2,0))</f>
        <v/>
      </c>
      <c r="AJ72" s="72" t="str">
        <f>IF(OR(E72="",E72="TOTAL"),"",VLOOKUP(DATEVALUE(E72),AM$66:$AR72,3,0))</f>
        <v/>
      </c>
      <c r="AK72" s="73" t="str">
        <f>IF(OR(E72="",E72="TOTAL"),"",VLOOKUP(DATEVALUE(E72),AM$66:$AR72,5,0))</f>
        <v/>
      </c>
      <c r="AL72" s="71"/>
      <c r="AM72" s="74">
        <v>45992</v>
      </c>
      <c r="AN72" s="64">
        <v>53</v>
      </c>
      <c r="AO72" s="64">
        <v>10</v>
      </c>
      <c r="AP72" s="64"/>
      <c r="AQ72" s="65"/>
      <c r="AR72" s="75"/>
      <c r="AS72" s="78"/>
      <c r="AT72" s="78"/>
      <c r="AU72" s="78"/>
      <c r="AV72" s="78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</row>
    <row r="73" spans="1:61" s="34" customFormat="1" ht="25.5" customHeight="1" x14ac:dyDescent="0.25">
      <c r="A73" s="33"/>
      <c r="B73" s="27" t="str">
        <f t="shared" si="25"/>
        <v/>
      </c>
      <c r="C73" s="32" t="str">
        <f t="shared" si="36"/>
        <v/>
      </c>
      <c r="D73" s="32" t="str">
        <f t="shared" si="26"/>
        <v/>
      </c>
      <c r="E73" s="37" t="str">
        <f t="shared" si="37"/>
        <v/>
      </c>
      <c r="F73" s="29" t="str">
        <f>IF(E73="","",IF(C73="Jul",MROUND(F72*1.03,100),IF(E73="TOTAL",SUM($F$13:F72),F72)))</f>
        <v/>
      </c>
      <c r="G73" s="29" t="str">
        <f>IF(E73="","",IF(E73="TOTAL",SUM($G$13:G72),ROUND(F73*AI73/100,0)))</f>
        <v/>
      </c>
      <c r="H73" s="38" t="str">
        <f>IF(E73="","",IF(E73="TOTAL",SUM($H$13:H72),ROUND(F73*AJ73/100,0)))</f>
        <v/>
      </c>
      <c r="I73" s="38" t="str">
        <f>IF(E73="","",IF(E73="TOTAL",SUM($I$13:I72),0))</f>
        <v/>
      </c>
      <c r="J73" s="35" t="str">
        <f t="shared" si="9"/>
        <v/>
      </c>
      <c r="K73" s="38" t="str">
        <f>IF(E73="","",IF(C73="Jul",MROUND(K72*1.03,100),IF(E73="TOTAL",SUM($K$13:K72),K72)))</f>
        <v/>
      </c>
      <c r="L73" s="38" t="str">
        <f>IF(E73="","",IF(E73="TOTAL",SUM($L$13:L72),ROUND(K73*AI73/100,0)))</f>
        <v/>
      </c>
      <c r="M73" s="38" t="str">
        <f>IF(E73="","",IF(E73="TOTAL",SUM($M$13:M72),ROUND(K73*AJ73/100,0)))</f>
        <v/>
      </c>
      <c r="N73" s="38" t="str">
        <f>IF(E73="","",IF(E73="TOTAL",SUM($N$13:N72),0))</f>
        <v/>
      </c>
      <c r="O73" s="35" t="str">
        <f t="shared" si="15"/>
        <v/>
      </c>
      <c r="P73" s="29" t="str">
        <f t="shared" si="38"/>
        <v/>
      </c>
      <c r="Q73" s="29" t="str">
        <f t="shared" si="39"/>
        <v/>
      </c>
      <c r="R73" s="29" t="str">
        <f t="shared" si="40"/>
        <v/>
      </c>
      <c r="S73" s="29" t="str">
        <f t="shared" si="10"/>
        <v/>
      </c>
      <c r="T73" s="35" t="str">
        <f t="shared" si="11"/>
        <v/>
      </c>
      <c r="U73" s="39" t="str">
        <f>IF(E73="","",IF(E73="TOTAL",SUM($U$13:U72),ROUND(F73*AK73,0)))</f>
        <v/>
      </c>
      <c r="V73" s="39" t="str">
        <f>IF(E73="","",IF(E73="TOTAL",SUM($V$13:V72),ROUND(K73*AK73,0)))</f>
        <v/>
      </c>
      <c r="W73" s="30" t="str">
        <f t="shared" si="41"/>
        <v/>
      </c>
      <c r="X73" s="87" t="str">
        <f>IF(E73="","",IF(E73="TOTAL",SUM($X$13:X72),IF(F73&lt;18001,265,IF(F73&lt;33501,440,IF(F73&lt;54001,658,875)))))</f>
        <v/>
      </c>
      <c r="Y73" s="87" t="str">
        <f>IF(E73="","",IF(E73="TOTAL",SUM($Y$13:Y72),IF(K73&lt;18001,265,IF(K73&lt;33501,440,IF(K73&lt;54001,658,875)))))</f>
        <v/>
      </c>
      <c r="Z73" s="31" t="str">
        <f>IF(E73="","",IF(E73="TOTAL",SUM($Z$13:Z72),X73-Y73))</f>
        <v/>
      </c>
      <c r="AA73" s="39" t="str">
        <f>IF(E73="","",IF(E73="TOTAL",SUM($AA$13:AA72),0))</f>
        <v/>
      </c>
      <c r="AB73" s="30" t="str">
        <f>IF(E73="","",IF(E73="TOTAL",SUM($AB$13:AB72),ROUND(T73*$Z$5,0)))</f>
        <v/>
      </c>
      <c r="AC73" s="35" t="str">
        <f t="shared" si="17"/>
        <v/>
      </c>
      <c r="AD73" s="36" t="str">
        <f t="shared" si="42"/>
        <v/>
      </c>
      <c r="AE73" s="7"/>
      <c r="AF73" s="7"/>
      <c r="AG73" s="71" t="str">
        <f t="shared" si="43"/>
        <v/>
      </c>
      <c r="AH73" s="71"/>
      <c r="AI73" s="72" t="str">
        <f>IF(OR(E73="",E73="TOTAL"),"",VLOOKUP(DATEVALUE(E73),AM$66:$AR73,2,0))</f>
        <v/>
      </c>
      <c r="AJ73" s="72" t="str">
        <f>IF(OR(E73="",E73="TOTAL"),"",VLOOKUP(DATEVALUE(E73),AM$66:$AR73,3,0))</f>
        <v/>
      </c>
      <c r="AK73" s="73" t="str">
        <f>IF(OR(E73="",E73="TOTAL"),"",VLOOKUP(DATEVALUE(E73),AM$66:$AR73,5,0))</f>
        <v/>
      </c>
      <c r="AL73" s="71"/>
      <c r="AM73" s="74">
        <v>46023</v>
      </c>
      <c r="AN73" s="64">
        <v>53</v>
      </c>
      <c r="AO73" s="64">
        <v>10</v>
      </c>
      <c r="AP73" s="64"/>
      <c r="AQ73" s="65"/>
      <c r="AR73" s="75"/>
      <c r="AS73" s="78"/>
      <c r="AT73" s="78"/>
      <c r="AU73" s="78"/>
      <c r="AV73" s="78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</row>
    <row r="74" spans="1:61" s="33" customFormat="1" x14ac:dyDescent="0.3">
      <c r="B74" s="42"/>
      <c r="C74" s="7"/>
      <c r="D74" s="7"/>
      <c r="E74" s="7"/>
      <c r="F74" s="7"/>
      <c r="G74" s="7"/>
      <c r="H74" s="7"/>
      <c r="I74" s="29" t="str">
        <f>IF(E74="","",IF(E74="TOTAL",SUM($I$13:I73),0))</f>
        <v/>
      </c>
      <c r="J74" s="7"/>
      <c r="K74" s="7"/>
      <c r="L74" s="7"/>
      <c r="M74" s="7"/>
      <c r="N74" s="29" t="str">
        <f>IF(E74="","",IF(E74="TOTAL",SUM($N$13:N73),0))</f>
        <v/>
      </c>
      <c r="O74" s="7"/>
      <c r="P74" s="7"/>
      <c r="Q74" s="7"/>
      <c r="R74" s="7"/>
      <c r="S74" s="29" t="str">
        <f t="shared" si="10"/>
        <v/>
      </c>
      <c r="T74" s="7"/>
      <c r="U74" s="7"/>
      <c r="V74" s="7"/>
      <c r="W74" s="7"/>
      <c r="X74" s="7"/>
      <c r="Y74" s="7"/>
      <c r="Z74" s="7"/>
      <c r="AA74" s="30" t="str">
        <f>IF(E74="","",IF(E74="TOTAL",SUM($AA$13:AA73),0))</f>
        <v/>
      </c>
      <c r="AB74" s="7"/>
      <c r="AC74" s="43"/>
      <c r="AD74" s="44"/>
      <c r="AE74" s="7"/>
      <c r="AF74" s="7"/>
      <c r="AG74" s="79"/>
      <c r="AH74" s="79"/>
      <c r="AI74" s="79"/>
      <c r="AJ74" s="79"/>
      <c r="AK74" s="80"/>
      <c r="AL74" s="79"/>
      <c r="AM74" s="79"/>
      <c r="AN74" s="79"/>
      <c r="AO74" s="79"/>
      <c r="AP74" s="79"/>
      <c r="AQ74" s="80"/>
      <c r="AR74" s="79"/>
      <c r="AS74" s="81"/>
      <c r="AT74" s="81"/>
      <c r="AU74" s="81"/>
      <c r="AV74" s="81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</row>
    <row r="75" spans="1:61" s="33" customFormat="1" x14ac:dyDescent="0.3">
      <c r="B75" s="42"/>
      <c r="C75" s="7"/>
      <c r="D75" s="7"/>
      <c r="E75" s="7"/>
      <c r="F75" s="7"/>
      <c r="G75" s="7"/>
      <c r="H75" s="7"/>
      <c r="I75" s="29" t="str">
        <f>IF(E75="","",IF(E75="TOTAL",SUM($I$13:I74),0))</f>
        <v/>
      </c>
      <c r="J75" s="7"/>
      <c r="K75" s="7"/>
      <c r="L75" s="7"/>
      <c r="M75" s="7"/>
      <c r="N75" s="29" t="str">
        <f>IF(E75="","",IF(E75="TOTAL",SUM($N$13:N74),0))</f>
        <v/>
      </c>
      <c r="O75" s="7"/>
      <c r="P75" s="7"/>
      <c r="Q75" s="7"/>
      <c r="R75" s="7"/>
      <c r="S75" s="29" t="str">
        <f t="shared" si="10"/>
        <v/>
      </c>
      <c r="T75" s="7"/>
      <c r="U75" s="7"/>
      <c r="V75" s="7"/>
      <c r="W75" s="7"/>
      <c r="X75" s="7"/>
      <c r="Y75" s="7"/>
      <c r="Z75" s="7"/>
      <c r="AA75" s="30" t="str">
        <f>IF(E75="","",IF(E75="TOTAL",SUM($AA$13:AA74),0))</f>
        <v/>
      </c>
      <c r="AB75" s="7"/>
      <c r="AC75" s="43"/>
      <c r="AD75" s="44"/>
      <c r="AE75" s="7"/>
      <c r="AF75" s="7"/>
      <c r="AG75" s="79"/>
      <c r="AH75" s="79"/>
      <c r="AI75" s="79"/>
      <c r="AJ75" s="79"/>
      <c r="AK75" s="80"/>
      <c r="AL75" s="79"/>
      <c r="AM75" s="79"/>
      <c r="AN75" s="79"/>
      <c r="AO75" s="79"/>
      <c r="AP75" s="79"/>
      <c r="AQ75" s="80"/>
      <c r="AR75" s="79"/>
      <c r="AS75" s="81"/>
      <c r="AT75" s="81"/>
      <c r="AU75" s="81"/>
      <c r="AV75" s="81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</row>
  </sheetData>
  <sheetProtection algorithmName="SHA-512" hashValue="7DJwdToXzOugY8oBoVy9o3Bxih/lE2Y3cV/Dec3RnuD685wQQDa4ifUk+nQaQM5c+W40Xu06cD0LhacgEmyB5w==" saltValue="urHUqJETRLpfHuY8mBFkCQ==" spinCount="100000" sheet="1" objects="1" scenarios="1" formatColumns="0" formatRows="0"/>
  <mergeCells count="59">
    <mergeCell ref="AE1:AE5"/>
    <mergeCell ref="D6:AD6"/>
    <mergeCell ref="N4:O4"/>
    <mergeCell ref="N5:O5"/>
    <mergeCell ref="AC2:AD2"/>
    <mergeCell ref="F4:K4"/>
    <mergeCell ref="D1:AD1"/>
    <mergeCell ref="S4:U4"/>
    <mergeCell ref="S5:U5"/>
    <mergeCell ref="F5:K5"/>
    <mergeCell ref="D2:E5"/>
    <mergeCell ref="L3:T3"/>
    <mergeCell ref="U3:V3"/>
    <mergeCell ref="P5:R5"/>
    <mergeCell ref="V4:Y4"/>
    <mergeCell ref="V5:Y5"/>
    <mergeCell ref="Y2:AB2"/>
    <mergeCell ref="P4:R4"/>
    <mergeCell ref="L2:X2"/>
    <mergeCell ref="W3:AD3"/>
    <mergeCell ref="AA5:AD5"/>
    <mergeCell ref="F2:K2"/>
    <mergeCell ref="F3:K3"/>
    <mergeCell ref="AA4:AC4"/>
    <mergeCell ref="B10:B12"/>
    <mergeCell ref="F10:J10"/>
    <mergeCell ref="K10:O10"/>
    <mergeCell ref="P10:T10"/>
    <mergeCell ref="L11:L12"/>
    <mergeCell ref="M11:M12"/>
    <mergeCell ref="O11:O12"/>
    <mergeCell ref="F11:F12"/>
    <mergeCell ref="G11:G12"/>
    <mergeCell ref="H11:H12"/>
    <mergeCell ref="J11:J12"/>
    <mergeCell ref="K11:K12"/>
    <mergeCell ref="E10:E12"/>
    <mergeCell ref="D10:D12"/>
    <mergeCell ref="S11:S12"/>
    <mergeCell ref="AC10:AC12"/>
    <mergeCell ref="AD10:AD12"/>
    <mergeCell ref="U11:W11"/>
    <mergeCell ref="I11:I12"/>
    <mergeCell ref="N11:N12"/>
    <mergeCell ref="AA11:AA12"/>
    <mergeCell ref="X11:Z11"/>
    <mergeCell ref="U10:AB10"/>
    <mergeCell ref="AB11:AB12"/>
    <mergeCell ref="P11:P12"/>
    <mergeCell ref="Q11:Q12"/>
    <mergeCell ref="R11:R12"/>
    <mergeCell ref="T11:T12"/>
    <mergeCell ref="B7:AD7"/>
    <mergeCell ref="B8:AD8"/>
    <mergeCell ref="Z9:AB9"/>
    <mergeCell ref="D9:E9"/>
    <mergeCell ref="L9:O9"/>
    <mergeCell ref="F9:K9"/>
    <mergeCell ref="P9:W9"/>
  </mergeCells>
  <phoneticPr fontId="6" type="noConversion"/>
  <conditionalFormatting sqref="D10:U10 AC10:AD10 D11:AD11 D12:H12 J12:M12 O12:R12 T12:Z12 AC12:AD12 D13:AD73 S13:S75 I14:I75 N14:N75 AA14:AA75">
    <cfRule type="expression" dxfId="1" priority="5">
      <formula>$D10&lt;&gt;""</formula>
    </cfRule>
  </conditionalFormatting>
  <conditionalFormatting sqref="D13:AD73 S13:S75 I14:I75 N14:N75 AA14:AA75">
    <cfRule type="expression" dxfId="0" priority="4">
      <formula>$E13="TOTAL"</formula>
    </cfRule>
  </conditionalFormatting>
  <dataValidations count="8">
    <dataValidation type="list" allowBlank="1" showInputMessage="1" showErrorMessage="1" sqref="L4">
      <formula1>$AU$7:$AU$37</formula1>
    </dataValidation>
    <dataValidation type="list" allowBlank="1" showInputMessage="1" showErrorMessage="1" sqref="M4:M5">
      <formula1>$AT$7:$AT$18</formula1>
    </dataValidation>
    <dataValidation type="list" allowBlank="1" showInputMessage="1" showErrorMessage="1" sqref="AD4">
      <formula1>$AV$7:$AV$30</formula1>
    </dataValidation>
    <dataValidation type="list" allowBlank="1" showInputMessage="1" showErrorMessage="1" sqref="AY5:AZ6">
      <formula1>"GPF,GPF 2004"</formula1>
    </dataValidation>
    <dataValidation type="list" allowBlank="1" showInputMessage="1" showErrorMessage="1" sqref="Z4">
      <formula1>"10%,20%,0%,"</formula1>
    </dataValidation>
    <dataValidation type="list" allowBlank="1" showInputMessage="1" showErrorMessage="1" sqref="Z5">
      <formula1>"0%,5%,10%,15%,20%,30%,"</formula1>
    </dataValidation>
    <dataValidation type="list" allowBlank="1" showInputMessage="1" showErrorMessage="1" sqref="AC2:AD2">
      <formula1>"GPF,GPF 2004,GPF SAB,"</formula1>
    </dataValidation>
    <dataValidation type="list" allowBlank="1" showInputMessage="1" showErrorMessage="1" sqref="N4:N5">
      <formula1>"2021,2022,2023,2024,2025,"</formula1>
    </dataValidation>
  </dataValidations>
  <printOptions horizontalCentered="1"/>
  <pageMargins left="0.42" right="0.25" top="0.46" bottom="0.65" header="0.4" footer="0.16"/>
  <pageSetup paperSize="9" scale="58" fitToHeight="0" orientation="landscape" blackAndWhite="1" verticalDpi="1200" r:id="rId1"/>
  <headerFooter>
    <oddFooter xml:space="preserve">&amp;L&amp;"-,Bold Italic"&amp;14&amp;K7030A0www.rssrashtriya.org&amp;CPage &amp;P of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Arrear Sheet</vt:lpstr>
      <vt:lpstr>'Arrear Sheet'!Print_Area</vt:lpstr>
      <vt:lpstr>'Arrear Sheet'!Print_Titles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2024-11-06T14:27:15Z</cp:lastPrinted>
  <dcterms:created xsi:type="dcterms:W3CDTF">2022-01-10T09:02:33Z</dcterms:created>
  <dcterms:modified xsi:type="dcterms:W3CDTF">2025-01-20T09:20:29Z</dcterms:modified>
</cp:coreProperties>
</file>